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  <definedName name="_xlnm.Print_Area" localSheetId="0">Лист1!$A$1:$O$87</definedName>
  </definedNames>
  <calcPr calcId="125725"/>
</workbook>
</file>

<file path=xl/calcChain.xml><?xml version="1.0" encoding="utf-8"?>
<calcChain xmlns="http://schemas.openxmlformats.org/spreadsheetml/2006/main">
  <c r="F87" i="1"/>
  <c r="L10"/>
  <c r="K10"/>
  <c r="J10"/>
  <c r="I10"/>
  <c r="H10"/>
  <c r="G10"/>
  <c r="F10"/>
  <c r="F78"/>
  <c r="E83"/>
  <c r="F83"/>
  <c r="E84"/>
  <c r="F84"/>
  <c r="F82"/>
  <c r="F81"/>
  <c r="L100" i="2"/>
  <c r="I100"/>
  <c r="H100"/>
  <c r="G100"/>
  <c r="L96"/>
  <c r="K96"/>
  <c r="J96"/>
  <c r="I96"/>
  <c r="H96"/>
  <c r="G96"/>
  <c r="F96"/>
  <c r="L94"/>
  <c r="K94"/>
  <c r="J94"/>
  <c r="I94"/>
  <c r="H94"/>
  <c r="G94"/>
  <c r="J92"/>
  <c r="I92"/>
  <c r="H92"/>
  <c r="G92"/>
  <c r="F92"/>
  <c r="K84"/>
  <c r="J84"/>
  <c r="H84"/>
  <c r="G84"/>
  <c r="J79"/>
  <c r="I79"/>
  <c r="H79"/>
  <c r="G79"/>
  <c r="K76"/>
  <c r="J76"/>
  <c r="I76"/>
  <c r="H76"/>
  <c r="G76"/>
  <c r="L57"/>
  <c r="H57"/>
  <c r="G57"/>
  <c r="L52"/>
  <c r="K52"/>
  <c r="J52"/>
  <c r="H52"/>
  <c r="G52"/>
  <c r="H11"/>
  <c r="G11"/>
  <c r="K93"/>
  <c r="K92" s="1"/>
  <c r="L93"/>
  <c r="L92" s="1"/>
  <c r="L25"/>
  <c r="F54"/>
  <c r="F52" s="1"/>
  <c r="F55"/>
  <c r="L51"/>
  <c r="P127" s="1"/>
  <c r="F51"/>
  <c r="F50"/>
  <c r="P126" s="1"/>
  <c r="F49"/>
  <c r="P125" s="1"/>
  <c r="F48"/>
  <c r="P124" s="1"/>
  <c r="F47"/>
  <c r="P123" s="1"/>
  <c r="F46"/>
  <c r="P122" s="1"/>
  <c r="F45"/>
  <c r="P121" s="1"/>
  <c r="F44"/>
  <c r="P120" s="1"/>
  <c r="F43"/>
  <c r="P119" s="1"/>
  <c r="F42"/>
  <c r="P118" s="1"/>
  <c r="F41"/>
  <c r="P117" s="1"/>
  <c r="F40"/>
  <c r="P116" s="1"/>
  <c r="F77"/>
  <c r="L77" s="1"/>
  <c r="P115" s="1"/>
  <c r="Q114"/>
  <c r="P114"/>
  <c r="Q113"/>
  <c r="P113"/>
  <c r="Q112"/>
  <c r="P112"/>
  <c r="Q111"/>
  <c r="P111"/>
  <c r="Q110"/>
  <c r="P110"/>
  <c r="F69"/>
  <c r="Q109" s="1"/>
  <c r="Q108"/>
  <c r="P108"/>
  <c r="Q107"/>
  <c r="P107"/>
  <c r="Q106"/>
  <c r="P106"/>
  <c r="K105"/>
  <c r="P105" s="1"/>
  <c r="Q104"/>
  <c r="P104"/>
  <c r="J103"/>
  <c r="P103" s="1"/>
  <c r="K102"/>
  <c r="P102" s="1"/>
  <c r="F101"/>
  <c r="P101" s="1"/>
  <c r="F39"/>
  <c r="L39" s="1"/>
  <c r="P100" s="1"/>
  <c r="F38"/>
  <c r="L38" s="1"/>
  <c r="P99" s="1"/>
  <c r="F88"/>
  <c r="F87"/>
  <c r="L87" s="1"/>
  <c r="P97" s="1"/>
  <c r="F86"/>
  <c r="L86" s="1"/>
  <c r="P96" s="1"/>
  <c r="F95"/>
  <c r="P95" s="1"/>
  <c r="F65"/>
  <c r="P94" s="1"/>
  <c r="K37"/>
  <c r="J37"/>
  <c r="K36"/>
  <c r="J36"/>
  <c r="J35"/>
  <c r="J34"/>
  <c r="F34" s="1"/>
  <c r="J33"/>
  <c r="F33" s="1"/>
  <c r="L83"/>
  <c r="L79" s="1"/>
  <c r="F83"/>
  <c r="K32"/>
  <c r="J32"/>
  <c r="K31"/>
  <c r="J31"/>
  <c r="K30"/>
  <c r="J30"/>
  <c r="K29"/>
  <c r="J29"/>
  <c r="K28"/>
  <c r="J28"/>
  <c r="K27"/>
  <c r="J27"/>
  <c r="K26"/>
  <c r="J26"/>
  <c r="K64"/>
  <c r="K57" s="1"/>
  <c r="J64"/>
  <c r="J57" s="1"/>
  <c r="K24"/>
  <c r="J24"/>
  <c r="K23"/>
  <c r="K11" s="1"/>
  <c r="J23"/>
  <c r="J11" s="1"/>
  <c r="F56"/>
  <c r="I56" s="1"/>
  <c r="I52" s="1"/>
  <c r="I21"/>
  <c r="I20"/>
  <c r="I19"/>
  <c r="I18"/>
  <c r="I17"/>
  <c r="I16"/>
  <c r="I11" s="1"/>
  <c r="I63"/>
  <c r="I62"/>
  <c r="F61"/>
  <c r="F60"/>
  <c r="I60" s="1"/>
  <c r="P90" s="1"/>
  <c r="F85"/>
  <c r="I85" s="1"/>
  <c r="I84" s="1"/>
  <c r="A85"/>
  <c r="A90" s="1"/>
  <c r="A91" s="1"/>
  <c r="A92" s="1"/>
  <c r="A93" s="1"/>
  <c r="A94" s="1"/>
  <c r="A95" s="1"/>
  <c r="A96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F15"/>
  <c r="Q83" s="1"/>
  <c r="F80"/>
  <c r="F79" s="1"/>
  <c r="F78"/>
  <c r="P78" s="1"/>
  <c r="F59"/>
  <c r="P59" s="1"/>
  <c r="F58"/>
  <c r="P58" s="1"/>
  <c r="Q55"/>
  <c r="Q54"/>
  <c r="P54"/>
  <c r="F14"/>
  <c r="P14" s="1"/>
  <c r="F13"/>
  <c r="P13" s="1"/>
  <c r="Q12"/>
  <c r="P12"/>
  <c r="P72" i="1"/>
  <c r="P71"/>
  <c r="P70"/>
  <c r="P69"/>
  <c r="P68"/>
  <c r="P66"/>
  <c r="P65"/>
  <c r="P64"/>
  <c r="P62"/>
  <c r="P53"/>
  <c r="P11"/>
  <c r="F53"/>
  <c r="F45"/>
  <c r="F76" i="2" l="1"/>
  <c r="L76"/>
  <c r="F84"/>
  <c r="F94"/>
  <c r="F100"/>
  <c r="J100"/>
  <c r="L11"/>
  <c r="K100"/>
  <c r="H10"/>
  <c r="G10"/>
  <c r="P109"/>
  <c r="Q116"/>
  <c r="Q118"/>
  <c r="Q119"/>
  <c r="Q121"/>
  <c r="E47"/>
  <c r="Q127"/>
  <c r="Q122"/>
  <c r="Q123"/>
  <c r="E65"/>
  <c r="J10"/>
  <c r="Q59"/>
  <c r="Q94"/>
  <c r="Q95"/>
  <c r="Q100"/>
  <c r="Q101"/>
  <c r="Q102"/>
  <c r="E49"/>
  <c r="Q125"/>
  <c r="Q126"/>
  <c r="Q78"/>
  <c r="Q90"/>
  <c r="Q97"/>
  <c r="Q105"/>
  <c r="E50"/>
  <c r="P83"/>
  <c r="Q53"/>
  <c r="P85"/>
  <c r="P53"/>
  <c r="Q85"/>
  <c r="Q96"/>
  <c r="Q99"/>
  <c r="Q115"/>
  <c r="Q13"/>
  <c r="Q14"/>
  <c r="K80"/>
  <c r="I61"/>
  <c r="P91" s="1"/>
  <c r="F26"/>
  <c r="F27"/>
  <c r="F28"/>
  <c r="F29"/>
  <c r="F30"/>
  <c r="F31"/>
  <c r="F32"/>
  <c r="F35"/>
  <c r="Q93"/>
  <c r="L88"/>
  <c r="P98" s="1"/>
  <c r="Q103"/>
  <c r="Q117"/>
  <c r="Q120"/>
  <c r="E48"/>
  <c r="Q124"/>
  <c r="F23"/>
  <c r="F11" s="1"/>
  <c r="F24"/>
  <c r="F64"/>
  <c r="F57" s="1"/>
  <c r="F36"/>
  <c r="F37"/>
  <c r="Q92" s="1"/>
  <c r="Q72" i="1"/>
  <c r="Q71"/>
  <c r="Q70"/>
  <c r="Q69"/>
  <c r="Q68"/>
  <c r="Q66"/>
  <c r="Q65"/>
  <c r="Q64"/>
  <c r="Q62"/>
  <c r="Q53"/>
  <c r="Q11"/>
  <c r="F85"/>
  <c r="L85" s="1"/>
  <c r="P85" s="1"/>
  <c r="P84"/>
  <c r="P82"/>
  <c r="Q81"/>
  <c r="F80"/>
  <c r="P80" s="1"/>
  <c r="F79"/>
  <c r="P79" s="1"/>
  <c r="P78"/>
  <c r="F77"/>
  <c r="P77" s="1"/>
  <c r="F76"/>
  <c r="P76" s="1"/>
  <c r="F75"/>
  <c r="P75" s="1"/>
  <c r="F74"/>
  <c r="P74" s="1"/>
  <c r="F73"/>
  <c r="L73" s="1"/>
  <c r="P73" s="1"/>
  <c r="F67"/>
  <c r="P67" s="1"/>
  <c r="L37"/>
  <c r="L45"/>
  <c r="P45" s="1"/>
  <c r="E82" l="1"/>
  <c r="Q77"/>
  <c r="Q67"/>
  <c r="Q75"/>
  <c r="Q79"/>
  <c r="Q85"/>
  <c r="L84" i="2"/>
  <c r="I57"/>
  <c r="P83" i="1"/>
  <c r="P37"/>
  <c r="E81"/>
  <c r="P81"/>
  <c r="K79" i="2"/>
  <c r="K10" s="1"/>
  <c r="Q73" i="1"/>
  <c r="Q83"/>
  <c r="Q45"/>
  <c r="Q37"/>
  <c r="Q74"/>
  <c r="Q76"/>
  <c r="Q78"/>
  <c r="Q80"/>
  <c r="Q82"/>
  <c r="Q84"/>
  <c r="I10" i="2"/>
  <c r="L10"/>
  <c r="F10"/>
  <c r="P80"/>
  <c r="Q91"/>
  <c r="P93"/>
  <c r="Q80"/>
  <c r="Q98"/>
  <c r="P92"/>
  <c r="K63" i="1"/>
  <c r="Q129" i="2" l="1"/>
  <c r="P63" i="1"/>
  <c r="Q63"/>
  <c r="Q10" i="2"/>
  <c r="K51" i="1"/>
  <c r="F52"/>
  <c r="J61"/>
  <c r="K60"/>
  <c r="F59"/>
  <c r="F2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P59" l="1"/>
  <c r="Q59"/>
  <c r="P61"/>
  <c r="Q61"/>
  <c r="L51"/>
  <c r="P51"/>
  <c r="Q51"/>
  <c r="P21"/>
  <c r="Q21"/>
  <c r="P60"/>
  <c r="Q60"/>
  <c r="E52"/>
  <c r="P52"/>
  <c r="Q52"/>
  <c r="A53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F58"/>
  <c r="F57"/>
  <c r="F56"/>
  <c r="F55"/>
  <c r="F54"/>
  <c r="J48"/>
  <c r="J47"/>
  <c r="J46"/>
  <c r="K50"/>
  <c r="J50"/>
  <c r="K49"/>
  <c r="J49"/>
  <c r="J42"/>
  <c r="K44"/>
  <c r="J44"/>
  <c r="K43"/>
  <c r="J43"/>
  <c r="K42"/>
  <c r="K41"/>
  <c r="J41"/>
  <c r="K40"/>
  <c r="J40"/>
  <c r="K39"/>
  <c r="J39"/>
  <c r="K38"/>
  <c r="J38"/>
  <c r="K36"/>
  <c r="K35"/>
  <c r="J36"/>
  <c r="J35"/>
  <c r="F47"/>
  <c r="Q47" s="1"/>
  <c r="K34"/>
  <c r="J34"/>
  <c r="F33"/>
  <c r="I33" l="1"/>
  <c r="P33" s="1"/>
  <c r="Q33"/>
  <c r="F46"/>
  <c r="Q46" s="1"/>
  <c r="P46"/>
  <c r="F48"/>
  <c r="Q48" s="1"/>
  <c r="P48"/>
  <c r="L55"/>
  <c r="P55" s="1"/>
  <c r="Q55"/>
  <c r="L57"/>
  <c r="P57" s="1"/>
  <c r="Q57"/>
  <c r="F35"/>
  <c r="Q35" s="1"/>
  <c r="F36"/>
  <c r="Q36" s="1"/>
  <c r="L54"/>
  <c r="P54" s="1"/>
  <c r="L56"/>
  <c r="P56" s="1"/>
  <c r="L58"/>
  <c r="P58" s="1"/>
  <c r="P47"/>
  <c r="F42"/>
  <c r="Q42" s="1"/>
  <c r="F38"/>
  <c r="Q38" s="1"/>
  <c r="F39"/>
  <c r="Q39" s="1"/>
  <c r="F40"/>
  <c r="Q40" s="1"/>
  <c r="F41"/>
  <c r="Q41" s="1"/>
  <c r="F43"/>
  <c r="Q43" s="1"/>
  <c r="F44"/>
  <c r="Q44" s="1"/>
  <c r="F49"/>
  <c r="Q49" s="1"/>
  <c r="F50"/>
  <c r="Q50" s="1"/>
  <c r="F34"/>
  <c r="Q34" s="1"/>
  <c r="I27"/>
  <c r="F24"/>
  <c r="F23"/>
  <c r="F22"/>
  <c r="P43" l="1"/>
  <c r="P38"/>
  <c r="P44"/>
  <c r="P50"/>
  <c r="P39"/>
  <c r="Q58"/>
  <c r="Q56"/>
  <c r="Q54"/>
  <c r="P36"/>
  <c r="P35"/>
  <c r="P40"/>
  <c r="P27"/>
  <c r="Q27"/>
  <c r="P42"/>
  <c r="P41"/>
  <c r="P34"/>
  <c r="P49"/>
  <c r="I32"/>
  <c r="I31"/>
  <c r="I30"/>
  <c r="I29"/>
  <c r="I28"/>
  <c r="I26"/>
  <c r="I25"/>
  <c r="I24"/>
  <c r="P24" s="1"/>
  <c r="I23"/>
  <c r="P23" s="1"/>
  <c r="I22"/>
  <c r="P25" l="1"/>
  <c r="Q25"/>
  <c r="P28"/>
  <c r="Q28"/>
  <c r="P30"/>
  <c r="Q30"/>
  <c r="P32"/>
  <c r="Q32"/>
  <c r="P22"/>
  <c r="P26"/>
  <c r="Q26"/>
  <c r="P29"/>
  <c r="Q29"/>
  <c r="P31"/>
  <c r="Q31"/>
  <c r="Q24"/>
  <c r="Q23"/>
  <c r="Q22"/>
  <c r="F20"/>
  <c r="K20" l="1"/>
  <c r="P20" s="1"/>
  <c r="Q20"/>
  <c r="K14"/>
  <c r="G14"/>
  <c r="F16"/>
  <c r="Q16" s="1"/>
  <c r="F19" l="1"/>
  <c r="F18"/>
  <c r="F17"/>
  <c r="F15"/>
  <c r="F13"/>
  <c r="F12"/>
  <c r="P12" l="1"/>
  <c r="Q12"/>
  <c r="F14"/>
  <c r="Q10" s="1"/>
  <c r="P15"/>
  <c r="Q15"/>
  <c r="P18"/>
  <c r="Q18"/>
  <c r="P13"/>
  <c r="Q13"/>
  <c r="P17"/>
  <c r="Q17"/>
  <c r="P19"/>
  <c r="Q19"/>
  <c r="Q14" l="1"/>
  <c r="P14"/>
  <c r="Q86"/>
</calcChain>
</file>

<file path=xl/sharedStrings.xml><?xml version="1.0" encoding="utf-8"?>
<sst xmlns="http://schemas.openxmlformats.org/spreadsheetml/2006/main" count="701" uniqueCount="234">
  <si>
    <t>№ з/п</t>
  </si>
  <si>
    <t>Назва проекту</t>
  </si>
  <si>
    <t>Всього</t>
  </si>
  <si>
    <t>Кошторисна вартість проекту,
тис.грн.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</si>
  <si>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</si>
  <si>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</si>
  <si>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</si>
  <si>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</si>
  <si>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</si>
  <si>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</si>
  <si>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Результативність реалізації проекту
(характеристика,  потужність відповідних об'єктів)</t>
  </si>
  <si>
    <t>Виконавець</t>
  </si>
  <si>
    <t>Термін реалізації проекту</t>
  </si>
  <si>
    <t xml:space="preserve">3.2. Перелік проектів регіонального розвитку, реалізація яких пропонується у 2019 році  </t>
  </si>
  <si>
    <t xml:space="preserve">Потреба у фінансуванні на 2019 рік, тис.грн.  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</si>
  <si>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</si>
  <si>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</si>
  <si>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</si>
  <si>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</si>
  <si>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</si>
  <si>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Додаток 5</t>
  </si>
  <si>
    <t>Реконструкція ділянки мережі водопроводу Д=200мм по вул.Некрасова від вул. Гайворонського до вул.Горького,1 в м.Бахмут</t>
  </si>
  <si>
    <t xml:space="preserve">Реконструкція ділянки  водоводу Д=500мм  від фільтрувальної станції  до вул.Б.Хмельницького в м.Бахмут </t>
  </si>
  <si>
    <t>Реконструкція ділянки  водоводу діаметром 500 мм від 1 -й  пров. Шевченко до РЧВ "Східний" в м.Бахмут Донецької області</t>
  </si>
  <si>
    <t>Реконструкція  (комплексна термосанація) дошкільного навчального закладу   № 52 "Райдуга", розташованого за адресою: Донецька область, м.Бахмут, вул.Сибірцева, 166</t>
  </si>
  <si>
    <t>Реконструкція будівлі Бахмутської загальноосвітньої школи I-III ступенів № 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</si>
  <si>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Капітальний ремонт громадської будівлі (спортивний зал) за адресою: м.Бахмут, вул. Ціолковського, 6, Донецької області</t>
  </si>
  <si>
    <t>2017-2019</t>
  </si>
  <si>
    <t>2019-2020</t>
  </si>
  <si>
    <t>1,4 км</t>
  </si>
  <si>
    <t>1.29 км</t>
  </si>
  <si>
    <t>2,0 км</t>
  </si>
  <si>
    <t>загальна площа-2837,8 м2</t>
  </si>
  <si>
    <t>1725,4 - загальна площа приміщень</t>
  </si>
  <si>
    <t>2905,90 м2- загальна площа забудови</t>
  </si>
  <si>
    <t>490м2</t>
  </si>
  <si>
    <t>3.19. Забезпечення розвитку фізичної культури і спорту, шляхом створення доступної спортивної інфраструктури</t>
  </si>
  <si>
    <t xml:space="preserve"> вартість проекту, що була подана на 2019 рік</t>
  </si>
  <si>
    <t xml:space="preserve"> </t>
  </si>
  <si>
    <t>2018-2019</t>
  </si>
  <si>
    <t>860,1 м2</t>
  </si>
  <si>
    <t>3.5.5. Сприяти збереженню та розвивати історико-культурну та духовну спадщину, створювати умови для патріотичного виховання населення.</t>
  </si>
  <si>
    <t>Управління розвитку міського господарства та капітального будівництва Бахмутської міської ради</t>
  </si>
  <si>
    <t>Управління освіти Бахмутської міської ради</t>
  </si>
  <si>
    <t>Управління з питань фізичної культури та спорту Бахмутської міської ради</t>
  </si>
  <si>
    <t>Управління культури Бахмутської міської ради</t>
  </si>
  <si>
    <t>Реконструкція комунального  закладу  культури "Бахмутський  краєзнавчий музей" та прилеглої території, який знаходится за адресою: м. Бахмут, вул. Незалежності,26"(коригування)</t>
  </si>
  <si>
    <t xml:space="preserve">Реконструкція корпусу № 1 КЗОЗ «Бахмутська центральна районна лікарня» за адресою  м. Бахмут, вул. Миру, буд. 10 (коригування)  у т.ч. </t>
  </si>
  <si>
    <t>кошти  не освоєні у 2018 році</t>
  </si>
  <si>
    <t>Аварійно-відновлювальні роботи (капітальний ремонт) на адміністративній будівлі Бахмутської міської ради, Донецька область, м. Бахмут, вул. Миру, 44 (коригування)</t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</si>
  <si>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</si>
  <si>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(коригування)</t>
  </si>
  <si>
    <t>Капітальний ремонт дитячого садку № 39 “Кульбабка”, розташованого за адресою: вул. Польова, 37, у м. Бахмут  Донецької області (коригування)</t>
  </si>
  <si>
    <t>Капітальний ремонт дитячого садку № 56 “Гусельки”, розташованого  за адресою: вул. Некрасова, 40, у м. Бахмут  Донецької області (коригування)</t>
  </si>
  <si>
    <t>Реконструкція  гуртожитку  по вул. Чайковського,1А в м. Бахмут Донецької  області  (коригування)</t>
  </si>
  <si>
    <t>Бахмутська міська рада</t>
  </si>
  <si>
    <t>Реконструкція корпусу № 2 КЗОЗ"Бахмутської центральної районної лікарні" за адресою: м. Бахмут, вул. Миру, 10 (коригування)</t>
  </si>
  <si>
    <t>1.1.1. Відновлювати пошкоджені внаслідок конфлікту інфраструктурні об’єкти (мости, дороги, залізничні колії тощо).</t>
  </si>
  <si>
    <t>3.5.1. Розвивати інфраструктуру системи охорони здоров’я</t>
  </si>
  <si>
    <t>3.5.2. Розвивати освітньо-наукову інфраструктуру.</t>
  </si>
  <si>
    <t xml:space="preserve"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3.4.1. Надавати соціальне житло та соціальні гуртожитки для ВПО, дітей-сиріт і дітей, позбавлених батьківського піклування.            </t>
  </si>
  <si>
    <t>Реконструкція магістральних мереж водопостачання по вул. Оборони, вул. Колпакової в м. Бахмут Донецької області</t>
  </si>
  <si>
    <t>Департамент капітального будівництва Донецької ОДА</t>
  </si>
  <si>
    <t>Капітальний ремонт ділянки водопроводу Д-200 мм від вул.Маріупольска,1 до пров.Великий Троїцький в м.Бахмут Донецької області (коригування)</t>
  </si>
  <si>
    <t>Реконструкція котельні № 4 по вул. Дружби,1  з переведення її на альтернативний вид  палива (пелети) м. Бахмут  Донецької області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</si>
  <si>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№33 по  вул. Визволителів Донбасу   м.Бахмут»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</si>
  <si>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№36 по вул.Ювілейна 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</si>
  <si>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 із застосуванням  енерго-  та  ресурсозберігаючих технологій («Теплий Будинок»). Теплоізоляція зовнішніх конструктивів житлового будинку №43 по  вул. Декабристів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</si>
  <si>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№164 по вул. Леваневського  м.Бахмут» (коригування)</t>
  </si>
  <si>
    <t>Реконструкція будівлі Комунального закладу культури "Бахмутський міський  народний Дім" та благоустрій прилеглої  території за адресою: місто Бахмут, вулиця Перемоги, 23а  (коригування)</t>
  </si>
  <si>
    <t>Реконструкція 5-ти  поверхового житлового будинку по вул. Декабристів,31 у м. Бахмут Донецької області (проект "Теплий будинок") (коригування)</t>
  </si>
  <si>
    <t>Реконструкція 5-ти  поверхового житлового будинку по вул. Визволителів Донбасу,29 у м. Бахмут  Донецької області (проект "Теплий будинок") (коригування)</t>
  </si>
  <si>
    <t>Реконструкція 5-ти  поверхового житлового будинку по вул. Декабристів,29 у м. Бахмут  Донецької області (проект "Теплий будинок") (коригування)</t>
  </si>
  <si>
    <t>Капітальний ремонт  тротуару по вул.Незалежності   м. Бахмут (коригування)</t>
  </si>
  <si>
    <t>Капітальний ремонт  тротуару  по вул. Горького м. Бахмут (коригування)</t>
  </si>
  <si>
    <t>Капітальний ремонт  тротуару  по  вул.Садовій (від вул. Бахмутська до  вул. Ціолковського)  м. Бахмут (коригування)</t>
  </si>
  <si>
    <t>Капітальний ремонт дороги по вул. Сибірцева м. Бахмут</t>
  </si>
  <si>
    <t>Капітальний ремонт  тротуару по  вул. Привокзальна (від вул. Незалежності  до вул. Миру)  м. Бахмут</t>
  </si>
  <si>
    <t>Будівництво адміністративної будівлі  за адресою: вул. Привокзальна , буд. 3 у  м.  Бахмуті  Донецької області (коригування)</t>
  </si>
  <si>
    <t>Капітальний ремонт  дошкільного навчального  закладу №49 "Кріпиш" за адресою: вул. Ювілейна,93, м. Бахмут Донецької області (коригування)</t>
  </si>
  <si>
    <t>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                                 вул. Ювілейна,34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</si>
  <si>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</si>
  <si>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електротранспорт.</t>
  </si>
  <si>
    <t>1.2.1. Створювати підприємницьку інфраструктуру, спростити та збільшити прозорість адміністративних процедур, зокрема на депресивних територіях (у т.ч. малі міста).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</si>
  <si>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</si>
  <si>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(1.9. Оптимізація систем водопостачання та водовідведення міст та районів Донецької області)</t>
  </si>
  <si>
    <t>3.1.3. Створювати заклади/соціальні служби для надання соціальних послуг відповідно до потреб конкретної громади.</t>
  </si>
  <si>
    <t xml:space="preserve">Реконструкція будівель для створення  
соціального центру у форматі «Прозорий соціальний офіс» за адресою: м.Бахмут, вул.Перемоги, 53
</t>
  </si>
  <si>
    <t>Управління праці та соціального захисту населення Бахмутської міської ради</t>
  </si>
  <si>
    <t>Департамент житлово-комунального господарства Донецької ОДА</t>
  </si>
  <si>
    <t>Служба автомобільних доріг у Донецькій обл.</t>
  </si>
  <si>
    <t>Капітальний ремонт будівлі по                   вул. Миру,51 у м.Бахмут Донецької області</t>
  </si>
  <si>
    <t>Капітальний ремонт будівлі по                   вул. Незалежності,73 у м.Бахмут Донецької області</t>
  </si>
  <si>
    <t>Капітальний ремонт адміністративної будівлі по                 вул. Соборній,8 у м.Бахмут Донецької області</t>
  </si>
  <si>
    <t>Капітальний ремонт дорожнього покриття по           вул. Трудова в м.Бахмут Донецької області</t>
  </si>
  <si>
    <t>Капітальний ремонт мосту по  вул. Миру в м.Бахмут (коригування)</t>
  </si>
  <si>
    <t>1.3.2. Проводити енергоаудит та заходи зі зменшення енерговитрат у адміністративних будівлях та об’єктах соціальної інфраструктури.</t>
  </si>
  <si>
    <t>КП "Бахмутська житлово-комунальна компанія"</t>
  </si>
  <si>
    <t>загальна площа -4616,7 кв.м.</t>
  </si>
  <si>
    <t xml:space="preserve">загальна площа -9417 кв.м., разрахункова кількість місць- 1398             </t>
  </si>
  <si>
    <t xml:space="preserve">загальна площа -5078,1 кв.м., разрахункова кількість місць- 958             </t>
  </si>
  <si>
    <t xml:space="preserve">загальна площа -941,8  кв.м., разрахункова кількість місць- 110             </t>
  </si>
  <si>
    <t xml:space="preserve">загальна площа -1053,0 кв.м., разрахункова кількість місць- 110            </t>
  </si>
  <si>
    <t>загальна площа -4786,9 кв.м.                 (59 кімнат)</t>
  </si>
  <si>
    <t>загальна площа - 1147,47 кв.м.                 (24 кімнати)</t>
  </si>
  <si>
    <t>загальна площа - 2004,4 кв.м. (72 кімнати)</t>
  </si>
  <si>
    <t>загальна площа - 1031,2 кв.м.    (24 кімнати)</t>
  </si>
  <si>
    <t>загальна площа - 6233,9 кв.м. (105 кімнат)</t>
  </si>
  <si>
    <t>загальна площа - 2280,3 кв.м.    (51 кімната)</t>
  </si>
  <si>
    <t>загальна площа - 2858,1 кв.м.   (розрахованої на 132 ліжко/місця)</t>
  </si>
  <si>
    <t xml:space="preserve">реконструкція водогону протяжністю - 3,8 км </t>
  </si>
  <si>
    <t xml:space="preserve">реконструкція водогону протяжністю - 2,1 км </t>
  </si>
  <si>
    <t>реконструкція котельні потужністю- 350,0 кВт</t>
  </si>
  <si>
    <t>загальна площа - 2858,9  м2,(розраховано на 162 місця)</t>
  </si>
  <si>
    <t>загальна площа - 2382,7 м2</t>
  </si>
  <si>
    <t xml:space="preserve"> загальна площа будинку 2491,7 м2 </t>
  </si>
  <si>
    <t>загальна площа - 1835,2 м2</t>
  </si>
  <si>
    <t>загальна площа - 2491,7 м2</t>
  </si>
  <si>
    <t>загальна площа - 395,5 м2</t>
  </si>
  <si>
    <t xml:space="preserve">загальна  площа будинку  2977,1 м2 </t>
  </si>
  <si>
    <t xml:space="preserve">загальна площа  будинку  2996,5 м2 </t>
  </si>
  <si>
    <t>загальна площа - 2391,37 м2</t>
  </si>
  <si>
    <t>14379,2 м2</t>
  </si>
  <si>
    <t>6246 м2</t>
  </si>
  <si>
    <t>3620 м2</t>
  </si>
  <si>
    <t>720 м2</t>
  </si>
  <si>
    <t>3700 м2</t>
  </si>
  <si>
    <t>загальна площа - 2443 м2, організація до 90  робочих місць, 180 відвідувачів одночасно.</t>
  </si>
  <si>
    <t>загальна площа приміщення 5682,1 м2 (розраховано на 811 місць)</t>
  </si>
  <si>
    <t>- створенная зручних та доступних умов для отримання суб'єктами звернень соціальних послуг                   - збільшення  ефективної площі             - обладнання робочих місць                  - збільшення кількості обслуговуваємих  суб'єктів</t>
  </si>
  <si>
    <t>1 мост</t>
  </si>
  <si>
    <t>довжина дороги- 1500 мп</t>
  </si>
  <si>
    <t>1 будівля</t>
  </si>
  <si>
    <t>Проекті «Економічна підтримка Донбасу»</t>
  </si>
  <si>
    <t>субвенції з державного бюджету місцевим бюджетам на проведення робіт, пов’язаних зі створенням і забезпеченням функціонування центрів надання адміністративних послуг, у тому числі послуг соціального характеру, в форматі “Прозорий офіс”</t>
  </si>
  <si>
    <t>інші</t>
  </si>
  <si>
    <t>КЗОЗ "Бахмутська центральная районна лікарня"</t>
  </si>
  <si>
    <t>Реконструкція  дороги по пров. Першотравневий у м. Бахмут  Донецької області</t>
  </si>
  <si>
    <t>741,0 мп дороги;         64,5 мп пішохідної доріжки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</si>
  <si>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</si>
  <si>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>Комунальний заклад охорони здоров'я "Бахмутська центральная районна лікарня"</t>
  </si>
  <si>
    <t xml:space="preserve">Реконструкція кріплення берегів та розчистка русла р. Бахмутка в межах         м. Бахмут Донецької області (коригування)                                                   </t>
  </si>
  <si>
    <t xml:space="preserve">Реконструкція та озеленення лівого берегу набережної р. Бахмутка            м. Бахмут                    </t>
  </si>
  <si>
    <t xml:space="preserve">Озеленення м. Бахмут: реконструкція скверу           (вул. Чайковського,                                вул. Корсунського)                            </t>
  </si>
  <si>
    <t>4.2.5. Усувати екологічні загрози,                   в тому числі які виникли внаслідок проведення АТО</t>
  </si>
  <si>
    <t>Реконструкція будівлі дошкільного навчального закладу комбінованого типу ясла - садку №40 "Посмішка", розташованого за адресою: Донецька область, м.Бахмут, вул. Чайковського, 99</t>
  </si>
  <si>
    <t xml:space="preserve">загальна площа 2165,9  кв.м., разрахункова кількість місць-             </t>
  </si>
  <si>
    <t>НЕФКО</t>
  </si>
  <si>
    <t>Реконструкція будівлі загальноосвітньої школи I - III cтупенів №10 Бахмутської міської ради Донецької області, розташованої за адресою: м. Бахмут, вул. Гаршина, 50</t>
  </si>
  <si>
    <t>загальна площа-6146,4 кв.м.</t>
  </si>
  <si>
    <t>Управління розвитку міського господарства та капітального будівництваБахмутської міської ради</t>
  </si>
  <si>
    <t>Екологічний фонд</t>
  </si>
  <si>
    <t>3.5.1. Розвивати інфраструктуру системи охорони здоров’я (3.10. Розвиток мережі медичних закладів, удосконалення надання медичних послуг населенню шляхом реконструкції, будівництва, капітального ремонту, закупівлі необхідного медичного обладнання лікарень області</t>
  </si>
  <si>
    <t>3.5.2. Розвивати освітньо - наукову інфраструктуру      3.14. Забезпечення права дитини на доступність і безоплатність здобуття дошкільної освіти шляхом створення необхідних умов функціонування і розвитку системи дошкільної освіти, збереження та розширення мережі закладів, визначення змісту їх діяльності відповідно до освітніх запитів населення</t>
  </si>
  <si>
    <t xml:space="preserve">  1.3.2. Проводити енергоаудит та заходи зі зменшення енерговитрат у адміністративних будівлях та об’єктах соціальної інфраструктури (1.21. Проведення заходів з термомодернізації будівель закладів освіти та охорони здоров’я комунальної (державної) форми власності)           </t>
  </si>
  <si>
    <t>ДФРР</t>
  </si>
  <si>
    <t>Реконструкція гуртожитку по вул. Сибірцева, 25 в м. Бахмут Донецької області" Коригування</t>
  </si>
  <si>
    <t>Реконструкція гуртожитку по вул. Привокзальній, 1, в м. Бахмут Донецької області (Коригування)</t>
  </si>
  <si>
    <t>Реконструкція гуртожитку по бул. Металургів, 2, у м. Бахмуті Донецької області" (коригування)</t>
  </si>
  <si>
    <t>ЄІБ</t>
  </si>
  <si>
    <t>Реконструкція гуртожитку по вул. Свободи, 20, у м. Бахмуті Донецької області" (коригування)</t>
  </si>
  <si>
    <t>Реконструкція гуртожитку по вул. Оборони, 19, у м. Бахмуті Донецької області" (коригування)</t>
  </si>
  <si>
    <t>розпорядження 548</t>
  </si>
  <si>
    <t xml:space="preserve">Придбання обладнання для  збору побутових відходів, а саме: контейнерів для роздільного збору побутових відходів                     малої ємності                                     </t>
  </si>
  <si>
    <t xml:space="preserve">м. Бахмут,                                       *УО БМР,                        *УОЗ БМР,                       *УК БМР,                         *УС БМР                          </t>
  </si>
  <si>
    <t>4.8. Впровадження комплексу заходів для вирішення проблем поводження з твердими побутовими відходами</t>
  </si>
  <si>
    <t xml:space="preserve">Придбання обладнання для збору побутових відходів, у тому числі: контейнерних майданчиків та контейнерів для роздільного збору відходів                                                                       </t>
  </si>
  <si>
    <t>м. Бахмут.                               *УРМГ та КБ БМР, *УОЗ БМР,                    *КП "БККП",                     ТОВ "УМВЕЛЬТ Бахмут"</t>
  </si>
  <si>
    <r>
      <t>Придбання                        19 контейнерних майданчиків                     (1,20х4,5 м) та                    60 контейнерів для роздільного збору відходів (1,1 м</t>
    </r>
    <r>
      <rPr>
        <sz val="10"/>
        <color theme="1"/>
        <rFont val="Calibri"/>
        <family val="2"/>
        <charset val="204"/>
      </rPr>
      <t>³</t>
    </r>
    <r>
      <rPr>
        <sz val="8"/>
        <color theme="1"/>
        <rFont val="Times New Roman"/>
        <family val="1"/>
        <charset val="204"/>
      </rPr>
      <t>)</t>
    </r>
  </si>
  <si>
    <t>у т.ч. міський екологічний фонд -68,4 тисм. Грн.</t>
  </si>
  <si>
    <t xml:space="preserve">2.1.5. Диверсифікація джерел енергопостачання та підвищення рівня енергоефект.                               3.5.2. Розвивати освітньо-наукову інфраструктуру. </t>
  </si>
  <si>
    <t xml:space="preserve">2.1.5. Диверсифікація джерел енергопостачання та підвищення рівня енергоефективн.           3.5.2. Розвивати освітньо-наукову інфраструктуру. </t>
  </si>
  <si>
    <t>Будівництво тролейбусного маршруту до с. Опитне з облаштуванням розворотнього кільця, кінцевої зупинки існуючих маршрутів, будівництвом диспетчерського пункту та двох агрегатної тягової підстанції у                                    м. Бахмут  Донецької області</t>
  </si>
  <si>
    <t>8,1 км</t>
  </si>
  <si>
    <t>Реконструкція будівлі Бахмітської загальноосвітньої школи І-ІІІ ступенів № 7 Бахмутської міської ради Донецької області , розташовваної за адресою м.Бахмут, вул. Ковальська, 121</t>
  </si>
  <si>
    <t>Управління освіти Бахмутської  міської ради</t>
  </si>
  <si>
    <t>Створення належних умов для навчання та виховання 313 дітей</t>
  </si>
  <si>
    <t>2.1.5. Диверсифікація джерел енергопостачання та підвищення рівня енергоефективності</t>
  </si>
  <si>
    <t>Реконструкція будівлі дошкільного навчального закладу №10 "Кристалик", розташованого за адресою : м. Бахмут, вул. Свободи,18 а</t>
  </si>
  <si>
    <t xml:space="preserve">Управління освіти Бахмутської міської ради </t>
  </si>
  <si>
    <t>загальна площа -2441 м2</t>
  </si>
  <si>
    <t xml:space="preserve">2.1.5. Диверсифікація джерел енергопостачання та підвищення рівня енергоефективності.              3.5.2. Розвивати освітньо-наукову інфраструктуру. </t>
  </si>
  <si>
    <t>Реконструкція будівлі дошкільного навчального закладу №47 "Оленка", розташованого за адресою : м. Бахмут, вул.Ювілейна,12</t>
  </si>
  <si>
    <t>загальна площа -1750 м2</t>
  </si>
  <si>
    <t>Реконструкція будівлі дошкільного навчального закладу №18 "Росинка", розташованого за адресою : м. Бахмут, пров. .Ломоносовський ,2</t>
  </si>
  <si>
    <t>загальна площа -1969 м2</t>
  </si>
  <si>
    <t>Капітальний ремонт фасадів та заміна водозливів з покрівлі комунального закладу культури "БАХМУТСЬКИЙ МІСЬКИЙ ЦЕНТР КУЛЬТУРИ ТА ДОЗВІЛЛЯ ІМЕНІ ЄВГЕНА МАРТИНОВА"</t>
  </si>
  <si>
    <t xml:space="preserve"> площа фасадів 3903,0  кв.м.</t>
  </si>
  <si>
    <t>Капітальний ремонт системи вентиляції, кондиціювання та опалення  великої глядацької  зали КОМУНАЛЬНОГО ЗАКЛАДУ КУЛЬТУРИ "БАХМУТСЬКИЙ МІСЬКИЙ ЦЕНТР КУЛЬТУРИ ТА ДОЗВІЛЛЯ ІМЕНІ ЄВГЕНА МАРТИНОВА"</t>
  </si>
  <si>
    <t>площа     281,79 кв.м.</t>
  </si>
  <si>
    <t>Капітальний ремонт спортивного залу  боксу  КДЮСШ-1,розташованого за адресою: м. Бахмут, Донецької області, бульвар Металургів,2</t>
  </si>
  <si>
    <t xml:space="preserve">загальна площа -          710,85 кв.м. </t>
  </si>
  <si>
    <t>Капітальний ремонт ділянки водогону Д-200мм по вул. Сибірцева від вулиці Привокзальна до вул. Горбатова в м.Бахмут Донецької області</t>
  </si>
  <si>
    <t xml:space="preserve">УРМГтаКП КП "БАХМУТ-ВОДА" </t>
  </si>
  <si>
    <t>протяжність ділянки водоводу - 532 м, пропускна здатність- 3000 м3/добу</t>
  </si>
  <si>
    <t>1.9. Оптимізація систем водопостачання та водовідведення міст і районів Донецької області</t>
  </si>
  <si>
    <t>Капітальний ремонт ділянки каналізаційної мережі Д-200мм по вул.Магістратська</t>
  </si>
  <si>
    <t>заміна 0,55км каналізаційних мереж</t>
  </si>
  <si>
    <t>Капітальний ремонт ділянки каналізаційної мережі Д-300мм по вул.П.Лумумби від житлового будинку №109 до ДК КТК</t>
  </si>
  <si>
    <t xml:space="preserve">заміна 1,9км каналізаційних мереж </t>
  </si>
  <si>
    <t>Капітальний ремонт каналізаційної мережі Д-200мм по вул.Незалежності від будинку №41</t>
  </si>
  <si>
    <t>заміна 0,3км каналізаційних мереж</t>
  </si>
  <si>
    <t>Реконструкція Кліщіївського водозабору</t>
  </si>
  <si>
    <t>ремонт свердловин , водопровідних мереж, обєктів водозабору</t>
  </si>
  <si>
    <t>Реконструкція дороги по провулку Східний в м. Бахмут Донецької області</t>
  </si>
  <si>
    <t xml:space="preserve">УРМГтаКБ        </t>
  </si>
  <si>
    <t>загальна довжина автодороги 1,444 км</t>
  </si>
  <si>
    <t>1.11. Відновлення та розвиток мережі автомобільних доріг загального користування та штучних споруд на них</t>
  </si>
  <si>
    <t>Реконструкція дороги по вул. Минаєвська в                      м. Бахмут Донецької області</t>
  </si>
  <si>
    <t>загальна довжина автодороги 1,349 км</t>
  </si>
  <si>
    <t>Реконструкція житлових будинків бул. Металургів</t>
  </si>
  <si>
    <t>УРМГтаКБ         КП "БЖУК"</t>
  </si>
  <si>
    <t>Кількість реконструйованих будинків 6 од.</t>
  </si>
  <si>
    <t xml:space="preserve">Капітальний ремонт кладовища №1, Донецька обл. Бахмутський р-н Іванівська сільська рада </t>
  </si>
  <si>
    <t>УРМГтаКБ         КП "БККП"</t>
  </si>
  <si>
    <t>відновлення та ремонт щебеневого та асфальтобетонного покриттів, встановлення огорожі кладовища.</t>
  </si>
  <si>
    <t xml:space="preserve">Капітальний ремонт кладовища по вул. Маріупольська в м. Бахмут, Донецької обл.  </t>
  </si>
  <si>
    <t>ремонт горожі, господарських споруд та елементів благоустрою кладовища</t>
  </si>
  <si>
    <t>Капітальний ремонт та реконструкція фонтанів у м. Бахмут</t>
  </si>
  <si>
    <t>УРМГтаКБ,                      КП "БККП"</t>
  </si>
  <si>
    <t>Капітальний ремонт та реконструкція 2 од. фонтанів у м. Бахмут</t>
  </si>
  <si>
    <t>Реконструкція  гуртожитку по вул. Перемоги,45 у м. Бахмуті Донецької області</t>
  </si>
  <si>
    <t>УРМГтаКБ,                      КП "БЖУК"</t>
  </si>
  <si>
    <t>загальна плоша гуртожитку- 2116м2, амбулаторії 440,0 м2</t>
  </si>
  <si>
    <t>Забезпечення екологычно-безпечного поводження  з твердими побутовими выдходами придбання                       132 контейнерів                           малої ємності                     (70 л)</t>
  </si>
  <si>
    <t>Інше</t>
  </si>
  <si>
    <t xml:space="preserve">. </t>
  </si>
  <si>
    <t>Будівництво відділення невідкладної (екстреної) медичної допомоги по вул. Миру, 10 у м.Бахмут</t>
  </si>
  <si>
    <t>КНП "Багатопрофільна лікарня інтенсивного лікування м.Бахмут"</t>
  </si>
  <si>
    <t>1 відділення невідкладної (екстреної) медичної допомоги європейського зразка</t>
  </si>
  <si>
    <t>Міжнародний комітет Червоного Хреста в Україні</t>
  </si>
  <si>
    <t>у т.ч. міський екологічний фонд -68,4 тис. грн.</t>
  </si>
  <si>
    <t>Реконструкція дошкільного навчального закладу компенсуючого типу, дитячого садку №25 "Дзвіночок", розташованого за адресою: Донецька область, м.Бахмут, вул. Садова, 138а</t>
  </si>
  <si>
    <t>Створення належних умов для навчання та виховання 140 дітей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</si>
</sst>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0.0"/>
    <numFmt numFmtId="167" formatCode="#,##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5">
    <xf numFmtId="0" fontId="0" fillId="0" borderId="0" xfId="0"/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2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1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7" fillId="2" borderId="1" xfId="0" applyFont="1" applyFill="1" applyBorder="1" applyAlignment="1">
      <alignment vertical="center" textRotation="90" wrapText="1"/>
    </xf>
    <xf numFmtId="165" fontId="4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12" fillId="0" borderId="1" xfId="1" applyFont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6" fontId="12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166" fontId="2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/>
    </xf>
    <xf numFmtId="164" fontId="4" fillId="4" borderId="0" xfId="0" applyNumberFormat="1" applyFont="1" applyFill="1"/>
    <xf numFmtId="0" fontId="4" fillId="4" borderId="0" xfId="0" applyFont="1" applyFill="1"/>
    <xf numFmtId="165" fontId="4" fillId="4" borderId="0" xfId="0" applyNumberFormat="1" applyFont="1" applyFill="1"/>
    <xf numFmtId="1" fontId="2" fillId="4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textRotation="90" wrapText="1"/>
    </xf>
    <xf numFmtId="16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1" fontId="2" fillId="5" borderId="1" xfId="0" applyNumberFormat="1" applyFont="1" applyFill="1" applyBorder="1" applyAlignment="1">
      <alignment horizontal="left" vertical="top" wrapText="1"/>
    </xf>
    <xf numFmtId="1" fontId="4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textRotation="90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textRotation="90" wrapText="1"/>
    </xf>
    <xf numFmtId="165" fontId="4" fillId="5" borderId="0" xfId="0" applyNumberFormat="1" applyFont="1" applyFill="1"/>
    <xf numFmtId="164" fontId="4" fillId="5" borderId="0" xfId="0" applyNumberFormat="1" applyFont="1" applyFill="1"/>
    <xf numFmtId="0" fontId="4" fillId="5" borderId="0" xfId="0" applyFont="1" applyFill="1"/>
    <xf numFmtId="1" fontId="2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 textRotation="90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textRotation="90" wrapText="1"/>
    </xf>
    <xf numFmtId="165" fontId="4" fillId="6" borderId="0" xfId="0" applyNumberFormat="1" applyFont="1" applyFill="1"/>
    <xf numFmtId="164" fontId="4" fillId="6" borderId="0" xfId="0" applyNumberFormat="1" applyFont="1" applyFill="1"/>
    <xf numFmtId="0" fontId="4" fillId="6" borderId="0" xfId="0" applyFont="1" applyFill="1"/>
    <xf numFmtId="1" fontId="2" fillId="6" borderId="1" xfId="0" applyNumberFormat="1" applyFont="1" applyFill="1" applyBorder="1" applyAlignment="1">
      <alignment horizontal="left" vertical="top" wrapText="1"/>
    </xf>
    <xf numFmtId="1" fontId="4" fillId="6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top"/>
    </xf>
    <xf numFmtId="0" fontId="7" fillId="7" borderId="1" xfId="0" applyFont="1" applyFill="1" applyBorder="1" applyAlignment="1">
      <alignment horizontal="center" vertical="center" textRotation="90" wrapText="1"/>
    </xf>
    <xf numFmtId="0" fontId="4" fillId="7" borderId="1" xfId="0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4" fillId="7" borderId="0" xfId="0" applyNumberFormat="1" applyFont="1" applyFill="1"/>
    <xf numFmtId="164" fontId="4" fillId="7" borderId="0" xfId="0" applyNumberFormat="1" applyFont="1" applyFill="1"/>
    <xf numFmtId="0" fontId="4" fillId="7" borderId="0" xfId="0" applyFont="1" applyFill="1"/>
    <xf numFmtId="2" fontId="2" fillId="7" borderId="1" xfId="0" applyNumberFormat="1" applyFont="1" applyFill="1" applyBorder="1" applyAlignment="1">
      <alignment horizontal="left" vertical="top" wrapText="1"/>
    </xf>
    <xf numFmtId="164" fontId="2" fillId="7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textRotation="90" wrapText="1"/>
    </xf>
    <xf numFmtId="0" fontId="4" fillId="7" borderId="1" xfId="0" applyFont="1" applyFill="1" applyBorder="1" applyAlignment="1">
      <alignment horizontal="left" vertical="top" wrapText="1"/>
    </xf>
    <xf numFmtId="0" fontId="4" fillId="9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center" vertical="center" textRotation="90" wrapText="1"/>
    </xf>
    <xf numFmtId="165" fontId="4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65" fontId="4" fillId="9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4" fillId="10" borderId="1" xfId="0" applyFont="1" applyFill="1" applyBorder="1" applyAlignment="1">
      <alignment horizontal="center" vertical="top" wrapText="1"/>
    </xf>
    <xf numFmtId="165" fontId="4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textRotation="90"/>
    </xf>
    <xf numFmtId="0" fontId="4" fillId="11" borderId="1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left" vertical="top" wrapText="1"/>
    </xf>
    <xf numFmtId="0" fontId="4" fillId="11" borderId="1" xfId="0" applyFont="1" applyFill="1" applyBorder="1" applyAlignment="1">
      <alignment vertical="top" wrapText="1"/>
    </xf>
    <xf numFmtId="0" fontId="7" fillId="11" borderId="1" xfId="0" applyFont="1" applyFill="1" applyBorder="1" applyAlignment="1">
      <alignment horizontal="center" vertical="center" textRotation="90" wrapText="1"/>
    </xf>
    <xf numFmtId="165" fontId="4" fillId="11" borderId="1" xfId="0" applyNumberFormat="1" applyFont="1" applyFill="1" applyBorder="1" applyAlignment="1">
      <alignment horizontal="center" vertical="center" wrapText="1"/>
    </xf>
    <xf numFmtId="165" fontId="4" fillId="11" borderId="1" xfId="0" applyNumberFormat="1" applyFont="1" applyFill="1" applyBorder="1" applyAlignment="1">
      <alignment horizontal="center" vertical="center"/>
    </xf>
    <xf numFmtId="165" fontId="2" fillId="11" borderId="1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vertical="center" textRotation="90" wrapText="1"/>
    </xf>
    <xf numFmtId="0" fontId="4" fillId="11" borderId="1" xfId="0" applyFont="1" applyFill="1" applyBorder="1" applyAlignment="1">
      <alignment horizontal="left" vertical="top" wrapText="1"/>
    </xf>
    <xf numFmtId="0" fontId="4" fillId="11" borderId="1" xfId="0" applyFont="1" applyFill="1" applyBorder="1" applyAlignment="1">
      <alignment horizontal="center" vertical="top"/>
    </xf>
    <xf numFmtId="0" fontId="4" fillId="11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textRotation="90"/>
    </xf>
    <xf numFmtId="165" fontId="4" fillId="11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0" fontId="4" fillId="9" borderId="1" xfId="0" applyFont="1" applyFill="1" applyBorder="1" applyAlignment="1">
      <alignment horizontal="center" vertical="top"/>
    </xf>
    <xf numFmtId="0" fontId="4" fillId="9" borderId="1" xfId="0" applyFont="1" applyFill="1" applyBorder="1" applyAlignment="1">
      <alignment horizontal="center" vertical="center"/>
    </xf>
    <xf numFmtId="165" fontId="4" fillId="9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textRotation="90"/>
    </xf>
    <xf numFmtId="1" fontId="2" fillId="10" borderId="1" xfId="0" applyNumberFormat="1" applyFont="1" applyFill="1" applyBorder="1" applyAlignment="1">
      <alignment horizontal="center" vertical="top" wrapText="1"/>
    </xf>
    <xf numFmtId="0" fontId="7" fillId="10" borderId="1" xfId="0" applyFont="1" applyFill="1" applyBorder="1" applyAlignment="1">
      <alignment horizontal="center" vertical="center" textRotation="90" wrapText="1"/>
    </xf>
    <xf numFmtId="165" fontId="4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textRotation="90"/>
    </xf>
    <xf numFmtId="0" fontId="4" fillId="9" borderId="0" xfId="0" applyFont="1" applyFill="1" applyBorder="1" applyAlignment="1">
      <alignment horizontal="left" vertical="top" wrapText="1"/>
    </xf>
    <xf numFmtId="0" fontId="4" fillId="9" borderId="0" xfId="0" applyFont="1" applyFill="1" applyBorder="1" applyAlignment="1">
      <alignment horizontal="center" vertical="top" wrapText="1"/>
    </xf>
    <xf numFmtId="0" fontId="7" fillId="9" borderId="0" xfId="0" applyFont="1" applyFill="1" applyBorder="1" applyAlignment="1">
      <alignment horizontal="center" vertical="center" textRotation="90" wrapText="1"/>
    </xf>
    <xf numFmtId="165" fontId="4" fillId="9" borderId="0" xfId="0" applyNumberFormat="1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top" wrapText="1"/>
    </xf>
    <xf numFmtId="0" fontId="2" fillId="12" borderId="1" xfId="0" applyFont="1" applyFill="1" applyBorder="1" applyAlignment="1">
      <alignment horizontal="left" vertical="top" wrapText="1"/>
    </xf>
    <xf numFmtId="0" fontId="4" fillId="12" borderId="1" xfId="0" applyFont="1" applyFill="1" applyBorder="1" applyAlignment="1">
      <alignment wrapText="1"/>
    </xf>
    <xf numFmtId="0" fontId="4" fillId="12" borderId="1" xfId="0" applyFont="1" applyFill="1" applyBorder="1" applyAlignment="1">
      <alignment horizontal="center" vertical="center"/>
    </xf>
    <xf numFmtId="165" fontId="4" fillId="12" borderId="0" xfId="0" applyNumberFormat="1" applyFont="1" applyFill="1"/>
    <xf numFmtId="164" fontId="4" fillId="12" borderId="0" xfId="0" applyNumberFormat="1" applyFont="1" applyFill="1"/>
    <xf numFmtId="0" fontId="4" fillId="12" borderId="0" xfId="0" applyFont="1" applyFill="1" applyBorder="1"/>
    <xf numFmtId="0" fontId="4" fillId="12" borderId="1" xfId="0" applyFont="1" applyFill="1" applyBorder="1"/>
    <xf numFmtId="0" fontId="12" fillId="12" borderId="1" xfId="0" applyFont="1" applyFill="1" applyBorder="1" applyAlignment="1">
      <alignment horizontal="center" vertical="center" wrapText="1"/>
    </xf>
    <xf numFmtId="165" fontId="11" fillId="12" borderId="1" xfId="0" applyNumberFormat="1" applyFont="1" applyFill="1" applyBorder="1" applyAlignment="1">
      <alignment horizontal="center" vertical="center" wrapText="1"/>
    </xf>
    <xf numFmtId="165" fontId="4" fillId="12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left" vertical="top" wrapText="1"/>
    </xf>
    <xf numFmtId="0" fontId="11" fillId="12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textRotation="90" wrapText="1"/>
    </xf>
    <xf numFmtId="0" fontId="5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2" fontId="13" fillId="10" borderId="1" xfId="0" applyNumberFormat="1" applyFont="1" applyFill="1" applyBorder="1" applyAlignment="1">
      <alignment horizontal="center" vertical="center"/>
    </xf>
    <xf numFmtId="165" fontId="7" fillId="10" borderId="1" xfId="0" applyNumberFormat="1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165" fontId="4" fillId="10" borderId="0" xfId="0" applyNumberFormat="1" applyFont="1" applyFill="1"/>
    <xf numFmtId="2" fontId="7" fillId="10" borderId="1" xfId="0" applyNumberFormat="1" applyFont="1" applyFill="1" applyBorder="1" applyAlignment="1">
      <alignment horizontal="center" vertical="center"/>
    </xf>
    <xf numFmtId="0" fontId="12" fillId="10" borderId="1" xfId="1" applyFont="1" applyFill="1" applyBorder="1" applyAlignment="1">
      <alignment horizontal="left" vertical="top" wrapText="1"/>
    </xf>
    <xf numFmtId="0" fontId="12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textRotation="90" wrapText="1"/>
    </xf>
    <xf numFmtId="0" fontId="13" fillId="11" borderId="1" xfId="0" applyFont="1" applyFill="1" applyBorder="1" applyAlignment="1">
      <alignment horizontal="left" vertical="top" wrapText="1"/>
    </xf>
    <xf numFmtId="1" fontId="10" fillId="11" borderId="1" xfId="0" applyNumberFormat="1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left" vertical="top" wrapText="1"/>
    </xf>
    <xf numFmtId="165" fontId="10" fillId="11" borderId="1" xfId="0" applyNumberFormat="1" applyFont="1" applyFill="1" applyBorder="1" applyAlignment="1">
      <alignment horizontal="center" vertical="center" wrapText="1"/>
    </xf>
    <xf numFmtId="165" fontId="7" fillId="11" borderId="1" xfId="0" applyNumberFormat="1" applyFont="1" applyFill="1" applyBorder="1" applyAlignment="1">
      <alignment horizontal="center" vertical="center"/>
    </xf>
    <xf numFmtId="165" fontId="7" fillId="11" borderId="1" xfId="0" applyNumberFormat="1" applyFont="1" applyFill="1" applyBorder="1" applyAlignment="1">
      <alignment horizontal="center" vertical="center" wrapText="1"/>
    </xf>
    <xf numFmtId="2" fontId="10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left" vertical="top" wrapText="1"/>
    </xf>
    <xf numFmtId="164" fontId="7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horizontal="left" vertical="top" wrapText="1"/>
    </xf>
    <xf numFmtId="0" fontId="10" fillId="8" borderId="1" xfId="0" applyNumberFormat="1" applyFont="1" applyFill="1" applyBorder="1" applyAlignment="1">
      <alignment horizontal="left" vertical="top" wrapText="1"/>
    </xf>
    <xf numFmtId="0" fontId="13" fillId="8" borderId="1" xfId="0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/>
    </xf>
    <xf numFmtId="165" fontId="23" fillId="6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3" fillId="9" borderId="1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165" fontId="3" fillId="2" borderId="0" xfId="0" applyNumberFormat="1" applyFont="1" applyFill="1"/>
    <xf numFmtId="0" fontId="3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7" fillId="12" borderId="1" xfId="0" applyFont="1" applyFill="1" applyBorder="1" applyAlignment="1">
      <alignment horizontal="center" vertical="center" textRotation="90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textRotation="90"/>
    </xf>
    <xf numFmtId="0" fontId="7" fillId="7" borderId="1" xfId="0" applyFont="1" applyFill="1" applyBorder="1" applyAlignment="1">
      <alignment horizontal="center" vertical="center" textRotation="90" wrapText="1"/>
    </xf>
    <xf numFmtId="167" fontId="4" fillId="0" borderId="1" xfId="0" applyNumberFormat="1" applyFont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T87"/>
  <sheetViews>
    <sheetView tabSelected="1" view="pageBreakPreview" zoomScaleNormal="79" zoomScaleSheetLayoutView="100" workbookViewId="0">
      <pane ySplit="10" topLeftCell="A11" activePane="bottomLeft" state="frozen"/>
      <selection pane="bottomLeft" activeCell="J86" sqref="J86"/>
    </sheetView>
  </sheetViews>
  <sheetFormatPr defaultRowHeight="15.75"/>
  <cols>
    <col min="1" max="1" width="6.7109375" style="33" customWidth="1"/>
    <col min="2" max="2" width="27.85546875" style="64" customWidth="1"/>
    <col min="3" max="3" width="9.5703125" style="299" customWidth="1"/>
    <col min="4" max="4" width="11.7109375" style="33" customWidth="1"/>
    <col min="5" max="5" width="16.7109375" style="32" customWidth="1"/>
    <col min="6" max="7" width="15.42578125" style="32" customWidth="1"/>
    <col min="8" max="8" width="13.7109375" style="32" customWidth="1"/>
    <col min="9" max="9" width="12.85546875" style="32" customWidth="1"/>
    <col min="10" max="10" width="13.140625" style="42" customWidth="1"/>
    <col min="11" max="11" width="14" style="42" customWidth="1"/>
    <col min="12" max="12" width="15.5703125" style="32" customWidth="1"/>
    <col min="13" max="13" width="18.5703125" style="32" customWidth="1"/>
    <col min="14" max="14" width="21" style="32" customWidth="1"/>
    <col min="15" max="15" width="9.7109375" style="295" customWidth="1"/>
    <col min="16" max="16" width="10.7109375" style="33" bestFit="1" customWidth="1"/>
    <col min="17" max="17" width="21" style="33" customWidth="1"/>
    <col min="18" max="18" width="23.85546875" style="33" customWidth="1"/>
    <col min="19" max="19" width="19.5703125" style="33" customWidth="1"/>
    <col min="20" max="16384" width="9.140625" style="33"/>
  </cols>
  <sheetData>
    <row r="3" spans="1:18">
      <c r="A3" s="317" t="s">
        <v>13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O3" s="296"/>
    </row>
    <row r="4" spans="1:18">
      <c r="A4" s="21"/>
      <c r="B4" s="65"/>
      <c r="C4" s="300"/>
      <c r="D4" s="21"/>
      <c r="E4" s="39"/>
      <c r="F4" s="39"/>
      <c r="G4" s="39"/>
      <c r="H4" s="39"/>
      <c r="I4" s="39"/>
      <c r="J4" s="27"/>
      <c r="K4" s="27"/>
      <c r="L4" s="39"/>
      <c r="M4" s="39"/>
      <c r="O4" s="296"/>
    </row>
    <row r="5" spans="1:18" s="32" customFormat="1" ht="15" customHeight="1">
      <c r="A5" s="318" t="s">
        <v>0</v>
      </c>
      <c r="B5" s="331" t="s">
        <v>1</v>
      </c>
      <c r="C5" s="332" t="s">
        <v>12</v>
      </c>
      <c r="D5" s="332" t="s">
        <v>11</v>
      </c>
      <c r="E5" s="323" t="s">
        <v>3</v>
      </c>
      <c r="F5" s="328" t="s">
        <v>14</v>
      </c>
      <c r="G5" s="328"/>
      <c r="H5" s="328"/>
      <c r="I5" s="328"/>
      <c r="J5" s="328"/>
      <c r="K5" s="328"/>
      <c r="L5" s="328"/>
      <c r="M5" s="325" t="s">
        <v>10</v>
      </c>
      <c r="N5" s="325" t="s">
        <v>19</v>
      </c>
      <c r="O5" s="325" t="s">
        <v>15</v>
      </c>
    </row>
    <row r="6" spans="1:18" s="32" customFormat="1" ht="15.75" customHeight="1">
      <c r="A6" s="318"/>
      <c r="B6" s="331"/>
      <c r="C6" s="333"/>
      <c r="D6" s="333"/>
      <c r="E6" s="330"/>
      <c r="F6" s="329" t="s">
        <v>2</v>
      </c>
      <c r="G6" s="328" t="s">
        <v>4</v>
      </c>
      <c r="H6" s="328"/>
      <c r="I6" s="328"/>
      <c r="J6" s="328"/>
      <c r="K6" s="328"/>
      <c r="L6" s="328"/>
      <c r="M6" s="326"/>
      <c r="N6" s="326"/>
      <c r="O6" s="326"/>
    </row>
    <row r="7" spans="1:18" s="32" customFormat="1" ht="15.75" customHeight="1">
      <c r="A7" s="318"/>
      <c r="B7" s="331"/>
      <c r="C7" s="333"/>
      <c r="D7" s="333"/>
      <c r="E7" s="330"/>
      <c r="F7" s="329"/>
      <c r="G7" s="319" t="s">
        <v>5</v>
      </c>
      <c r="H7" s="320"/>
      <c r="I7" s="320"/>
      <c r="J7" s="321" t="s">
        <v>8</v>
      </c>
      <c r="K7" s="322"/>
      <c r="L7" s="323" t="s">
        <v>18</v>
      </c>
      <c r="M7" s="326"/>
      <c r="N7" s="326"/>
      <c r="O7" s="326"/>
    </row>
    <row r="8" spans="1:18" s="32" customFormat="1" ht="190.5" customHeight="1">
      <c r="A8" s="318"/>
      <c r="B8" s="331"/>
      <c r="C8" s="334"/>
      <c r="D8" s="334"/>
      <c r="E8" s="324"/>
      <c r="F8" s="329"/>
      <c r="G8" s="59" t="s">
        <v>6</v>
      </c>
      <c r="H8" s="59" t="s">
        <v>17</v>
      </c>
      <c r="I8" s="59" t="s">
        <v>16</v>
      </c>
      <c r="J8" s="24" t="s">
        <v>7</v>
      </c>
      <c r="K8" s="24" t="s">
        <v>9</v>
      </c>
      <c r="L8" s="324"/>
      <c r="M8" s="327"/>
      <c r="N8" s="327"/>
      <c r="O8" s="327"/>
    </row>
    <row r="9" spans="1:18">
      <c r="A9" s="58">
        <v>1</v>
      </c>
      <c r="B9" s="66">
        <v>2</v>
      </c>
      <c r="C9" s="58">
        <v>3</v>
      </c>
      <c r="D9" s="58">
        <v>4</v>
      </c>
      <c r="E9" s="111">
        <v>5</v>
      </c>
      <c r="F9" s="111">
        <v>6</v>
      </c>
      <c r="G9" s="111">
        <v>7</v>
      </c>
      <c r="H9" s="111">
        <v>8</v>
      </c>
      <c r="I9" s="111">
        <v>9</v>
      </c>
      <c r="J9" s="24">
        <v>10</v>
      </c>
      <c r="K9" s="24">
        <v>11</v>
      </c>
      <c r="L9" s="111">
        <v>12</v>
      </c>
      <c r="M9" s="111">
        <v>13</v>
      </c>
      <c r="N9" s="111">
        <v>14</v>
      </c>
      <c r="O9" s="293">
        <v>15</v>
      </c>
    </row>
    <row r="10" spans="1:18">
      <c r="A10" s="58"/>
      <c r="B10" s="67" t="s">
        <v>2</v>
      </c>
      <c r="C10" s="58"/>
      <c r="D10" s="58"/>
      <c r="E10" s="115"/>
      <c r="F10" s="74">
        <f>SUM(F11:F87)-F15-F16</f>
        <v>1116443.5759999999</v>
      </c>
      <c r="G10" s="74">
        <f>SUM(G11:G87)-G15-G16</f>
        <v>160448.16899999999</v>
      </c>
      <c r="H10" s="74">
        <f>SUM(H11:H87)-H15-H16</f>
        <v>5000</v>
      </c>
      <c r="I10" s="74">
        <f>SUM(I11:I87)-I15-I16</f>
        <v>223862.90700000001</v>
      </c>
      <c r="J10" s="74">
        <f>SUM(J11:J87)-J15-J16</f>
        <v>153630.4773</v>
      </c>
      <c r="K10" s="74">
        <f>SUM(K11:K87)-K15-K16</f>
        <v>58542.780999999995</v>
      </c>
      <c r="L10" s="74">
        <f>SUM(L11:L87)</f>
        <v>514959.24170000001</v>
      </c>
      <c r="M10" s="111"/>
      <c r="N10" s="111"/>
      <c r="O10" s="293"/>
      <c r="Q10" s="49">
        <f>F10-G10-H10-I10-J10-K10-L10</f>
        <v>0</v>
      </c>
    </row>
    <row r="11" spans="1:18" ht="93.75" customHeight="1">
      <c r="A11" s="17">
        <v>1</v>
      </c>
      <c r="B11" s="18" t="s">
        <v>21</v>
      </c>
      <c r="C11" s="34">
        <v>2019</v>
      </c>
      <c r="D11" s="341" t="s">
        <v>42</v>
      </c>
      <c r="E11" s="1">
        <v>6555.5879999999997</v>
      </c>
      <c r="F11" s="44">
        <v>6419.0379999999996</v>
      </c>
      <c r="G11" s="44">
        <v>5777.134</v>
      </c>
      <c r="H11" s="37"/>
      <c r="I11" s="28"/>
      <c r="J11" s="29"/>
      <c r="K11" s="44">
        <v>641.904</v>
      </c>
      <c r="L11" s="28"/>
      <c r="M11" s="13" t="s">
        <v>29</v>
      </c>
      <c r="N11" s="337" t="s">
        <v>85</v>
      </c>
      <c r="O11" s="20" t="s">
        <v>155</v>
      </c>
      <c r="P11" s="57">
        <f>G11+H11+I11+J11+K11+L11-F11</f>
        <v>0</v>
      </c>
      <c r="Q11" s="49">
        <f t="shared" ref="Q11:Q74" si="0">F11-G11-H11-I11-J11-K11-L11</f>
        <v>-4.5474735088646412E-13</v>
      </c>
    </row>
    <row r="12" spans="1:18" ht="81.75" customHeight="1">
      <c r="A12" s="8">
        <v>2</v>
      </c>
      <c r="B12" s="18" t="s">
        <v>22</v>
      </c>
      <c r="C12" s="34">
        <v>2019</v>
      </c>
      <c r="D12" s="341"/>
      <c r="E12" s="1">
        <v>6875.6</v>
      </c>
      <c r="F12" s="44">
        <f>G12+K12</f>
        <v>6720.8530000000001</v>
      </c>
      <c r="G12" s="44">
        <v>6048.768</v>
      </c>
      <c r="H12" s="37"/>
      <c r="I12" s="28"/>
      <c r="J12" s="29"/>
      <c r="K12" s="44">
        <v>672.08500000000004</v>
      </c>
      <c r="L12" s="28"/>
      <c r="M12" s="13" t="s">
        <v>30</v>
      </c>
      <c r="N12" s="337"/>
      <c r="O12" s="20" t="s">
        <v>155</v>
      </c>
      <c r="P12" s="57">
        <f t="shared" ref="P12:P75" si="1">G12+H12+I12+J12+K12+L12-F12</f>
        <v>0</v>
      </c>
      <c r="Q12" s="49">
        <f t="shared" si="0"/>
        <v>0</v>
      </c>
    </row>
    <row r="13" spans="1:18" ht="117.75" customHeight="1">
      <c r="A13" s="17">
        <v>3</v>
      </c>
      <c r="B13" s="18" t="s">
        <v>23</v>
      </c>
      <c r="C13" s="34">
        <v>2019</v>
      </c>
      <c r="D13" s="341"/>
      <c r="E13" s="1">
        <v>10052.268</v>
      </c>
      <c r="F13" s="44">
        <f>G13+K13</f>
        <v>9896.7129999999997</v>
      </c>
      <c r="G13" s="44">
        <v>8907.0419999999995</v>
      </c>
      <c r="H13" s="37"/>
      <c r="I13" s="28"/>
      <c r="J13" s="29"/>
      <c r="K13" s="44">
        <v>989.67100000000005</v>
      </c>
      <c r="L13" s="28"/>
      <c r="M13" s="13" t="s">
        <v>31</v>
      </c>
      <c r="N13" s="337"/>
      <c r="O13" s="20" t="s">
        <v>155</v>
      </c>
      <c r="P13" s="57">
        <f t="shared" si="1"/>
        <v>0</v>
      </c>
      <c r="Q13" s="49">
        <f t="shared" si="0"/>
        <v>2.2737367544323206E-13</v>
      </c>
    </row>
    <row r="14" spans="1:18" ht="223.5" customHeight="1">
      <c r="A14" s="17">
        <v>4</v>
      </c>
      <c r="B14" s="19" t="s">
        <v>47</v>
      </c>
      <c r="C14" s="335" t="s">
        <v>27</v>
      </c>
      <c r="D14" s="341" t="s">
        <v>136</v>
      </c>
      <c r="E14" s="1">
        <v>61688.86</v>
      </c>
      <c r="F14" s="44">
        <f>F15+F16</f>
        <v>48933.438999999998</v>
      </c>
      <c r="G14" s="44">
        <f>G15+G16</f>
        <v>44040.053999999996</v>
      </c>
      <c r="H14" s="37"/>
      <c r="I14" s="28"/>
      <c r="J14" s="29"/>
      <c r="K14" s="44">
        <f>K15+K16</f>
        <v>4893.3850000000002</v>
      </c>
      <c r="L14" s="28"/>
      <c r="M14" s="9" t="s">
        <v>32</v>
      </c>
      <c r="N14" s="329" t="s">
        <v>152</v>
      </c>
      <c r="O14" s="20" t="s">
        <v>155</v>
      </c>
      <c r="P14" s="57">
        <f t="shared" si="1"/>
        <v>0</v>
      </c>
      <c r="Q14" s="49">
        <f t="shared" si="0"/>
        <v>1.8189894035458565E-12</v>
      </c>
    </row>
    <row r="15" spans="1:18" ht="36.75">
      <c r="A15" s="17"/>
      <c r="B15" s="19" t="s">
        <v>37</v>
      </c>
      <c r="C15" s="335"/>
      <c r="D15" s="341"/>
      <c r="E15" s="2"/>
      <c r="F15" s="37">
        <f>G15+K15</f>
        <v>20397.787999999997</v>
      </c>
      <c r="G15" s="16">
        <v>18358.008999999998</v>
      </c>
      <c r="H15" s="37"/>
      <c r="I15" s="28"/>
      <c r="J15" s="29"/>
      <c r="K15" s="29">
        <v>2039.779</v>
      </c>
      <c r="L15" s="28"/>
      <c r="M15" s="9"/>
      <c r="N15" s="329"/>
      <c r="O15" s="20" t="s">
        <v>155</v>
      </c>
      <c r="P15" s="57">
        <f t="shared" si="1"/>
        <v>0</v>
      </c>
      <c r="Q15" s="49">
        <f t="shared" si="0"/>
        <v>-1.3642420526593924E-12</v>
      </c>
      <c r="R15" s="57"/>
    </row>
    <row r="16" spans="1:18" ht="32.25" customHeight="1">
      <c r="A16" s="17"/>
      <c r="B16" s="19" t="s">
        <v>48</v>
      </c>
      <c r="C16" s="335"/>
      <c r="D16" s="341"/>
      <c r="E16" s="115"/>
      <c r="F16" s="37">
        <f>G16+K16</f>
        <v>28535.650999999998</v>
      </c>
      <c r="G16" s="44">
        <v>25682.044999999998</v>
      </c>
      <c r="H16" s="37"/>
      <c r="I16" s="37"/>
      <c r="J16" s="38"/>
      <c r="K16" s="44">
        <v>2853.6060000000002</v>
      </c>
      <c r="L16" s="37" t="s">
        <v>38</v>
      </c>
      <c r="M16" s="115"/>
      <c r="N16" s="329"/>
      <c r="O16" s="20" t="s">
        <v>155</v>
      </c>
      <c r="P16" s="57"/>
      <c r="Q16" s="49">
        <f>F16-G16-K16</f>
        <v>0</v>
      </c>
    </row>
    <row r="17" spans="1:17" ht="234" customHeight="1">
      <c r="A17" s="17">
        <v>5</v>
      </c>
      <c r="B17" s="19" t="s">
        <v>24</v>
      </c>
      <c r="C17" s="8">
        <v>2019</v>
      </c>
      <c r="D17" s="341" t="s">
        <v>43</v>
      </c>
      <c r="E17" s="4">
        <v>33795.559000000001</v>
      </c>
      <c r="F17" s="45">
        <f>G17+K17</f>
        <v>33233.784</v>
      </c>
      <c r="G17" s="6">
        <v>29910.404999999999</v>
      </c>
      <c r="H17" s="37"/>
      <c r="I17" s="28"/>
      <c r="J17" s="29"/>
      <c r="K17" s="38">
        <v>3323.3789999999999</v>
      </c>
      <c r="L17" s="28"/>
      <c r="M17" s="11" t="s">
        <v>33</v>
      </c>
      <c r="N17" s="5" t="s">
        <v>153</v>
      </c>
      <c r="O17" s="20" t="s">
        <v>155</v>
      </c>
      <c r="P17" s="57">
        <f t="shared" si="1"/>
        <v>0</v>
      </c>
      <c r="Q17" s="49">
        <f t="shared" si="0"/>
        <v>9.0949470177292824E-13</v>
      </c>
    </row>
    <row r="18" spans="1:17" ht="267.75">
      <c r="A18" s="8">
        <v>6</v>
      </c>
      <c r="B18" s="66" t="s">
        <v>25</v>
      </c>
      <c r="C18" s="8" t="s">
        <v>28</v>
      </c>
      <c r="D18" s="341"/>
      <c r="E18" s="6">
        <v>94895.804000000004</v>
      </c>
      <c r="F18" s="6">
        <f>G18+K18</f>
        <v>43343.567999999999</v>
      </c>
      <c r="G18" s="6">
        <v>39009.21</v>
      </c>
      <c r="H18" s="37"/>
      <c r="I18" s="28"/>
      <c r="J18" s="29"/>
      <c r="K18" s="26">
        <v>4334.3580000000002</v>
      </c>
      <c r="L18" s="28"/>
      <c r="M18" s="10" t="s">
        <v>34</v>
      </c>
      <c r="N18" s="5" t="s">
        <v>154</v>
      </c>
      <c r="O18" s="20" t="s">
        <v>155</v>
      </c>
      <c r="P18" s="57">
        <f t="shared" si="1"/>
        <v>0</v>
      </c>
      <c r="Q18" s="49">
        <f t="shared" si="0"/>
        <v>0</v>
      </c>
    </row>
    <row r="19" spans="1:17" ht="118.5" customHeight="1">
      <c r="A19" s="8">
        <v>7</v>
      </c>
      <c r="B19" s="68" t="s">
        <v>26</v>
      </c>
      <c r="C19" s="36">
        <v>2019</v>
      </c>
      <c r="D19" s="110" t="s">
        <v>44</v>
      </c>
      <c r="E19" s="3">
        <v>6456.5410000000002</v>
      </c>
      <c r="F19" s="16">
        <f>G19+K19</f>
        <v>6409.0190000000002</v>
      </c>
      <c r="G19" s="16">
        <v>5768.1170000000002</v>
      </c>
      <c r="H19" s="37"/>
      <c r="I19" s="28"/>
      <c r="J19" s="29"/>
      <c r="K19" s="29">
        <v>640.90200000000004</v>
      </c>
      <c r="L19" s="28"/>
      <c r="M19" s="12" t="s">
        <v>35</v>
      </c>
      <c r="N19" s="5" t="s">
        <v>36</v>
      </c>
      <c r="O19" s="20" t="s">
        <v>155</v>
      </c>
      <c r="P19" s="57">
        <f t="shared" si="1"/>
        <v>0</v>
      </c>
      <c r="Q19" s="49">
        <f t="shared" si="0"/>
        <v>0</v>
      </c>
    </row>
    <row r="20" spans="1:17" ht="147.75" customHeight="1">
      <c r="A20" s="58">
        <v>8</v>
      </c>
      <c r="B20" s="69" t="s">
        <v>46</v>
      </c>
      <c r="C20" s="298" t="s">
        <v>39</v>
      </c>
      <c r="D20" s="110" t="s">
        <v>45</v>
      </c>
      <c r="E20" s="16">
        <v>12174.419</v>
      </c>
      <c r="F20" s="37">
        <f>E20-192.411-27</f>
        <v>11955.008</v>
      </c>
      <c r="G20" s="26">
        <v>8859.0480000000007</v>
      </c>
      <c r="H20" s="37"/>
      <c r="I20" s="37"/>
      <c r="J20" s="38"/>
      <c r="K20" s="38">
        <f>F20-G20</f>
        <v>3095.9599999999991</v>
      </c>
      <c r="L20" s="28"/>
      <c r="M20" s="15" t="s">
        <v>40</v>
      </c>
      <c r="N20" s="14" t="s">
        <v>41</v>
      </c>
      <c r="O20" s="20" t="s">
        <v>155</v>
      </c>
      <c r="P20" s="57">
        <f t="shared" si="1"/>
        <v>0</v>
      </c>
      <c r="Q20" s="49">
        <f t="shared" si="0"/>
        <v>0</v>
      </c>
    </row>
    <row r="21" spans="1:17" ht="141.75" customHeight="1">
      <c r="A21" s="58">
        <v>9</v>
      </c>
      <c r="B21" s="70" t="s">
        <v>137</v>
      </c>
      <c r="C21" s="298">
        <v>2018</v>
      </c>
      <c r="D21" s="110" t="s">
        <v>42</v>
      </c>
      <c r="E21" s="47">
        <v>6921.5829999999996</v>
      </c>
      <c r="F21" s="37">
        <f>G21+K21</f>
        <v>6754.8439999999991</v>
      </c>
      <c r="G21" s="48">
        <v>4728.3909999999996</v>
      </c>
      <c r="H21" s="115"/>
      <c r="I21" s="37"/>
      <c r="J21" s="38"/>
      <c r="K21" s="48">
        <v>2026.453</v>
      </c>
      <c r="L21" s="28"/>
      <c r="M21" s="46" t="s">
        <v>138</v>
      </c>
      <c r="N21" s="14" t="s">
        <v>139</v>
      </c>
      <c r="O21" s="20" t="s">
        <v>155</v>
      </c>
      <c r="P21" s="57">
        <f t="shared" si="1"/>
        <v>0</v>
      </c>
      <c r="Q21" s="49">
        <f t="shared" si="0"/>
        <v>-4.5474735088646412E-13</v>
      </c>
    </row>
    <row r="22" spans="1:17" ht="124.5" customHeight="1">
      <c r="A22" s="58">
        <f>A21+1</f>
        <v>10</v>
      </c>
      <c r="B22" s="71" t="s">
        <v>49</v>
      </c>
      <c r="C22" s="58" t="s">
        <v>39</v>
      </c>
      <c r="D22" s="110" t="s">
        <v>55</v>
      </c>
      <c r="E22" s="16">
        <v>8940.02</v>
      </c>
      <c r="F22" s="28">
        <f>E22-2490.247</f>
        <v>6449.773000000001</v>
      </c>
      <c r="G22" s="28"/>
      <c r="H22" s="28"/>
      <c r="I22" s="28">
        <f>F22</f>
        <v>6449.773000000001</v>
      </c>
      <c r="J22" s="29"/>
      <c r="K22" s="29"/>
      <c r="L22" s="28"/>
      <c r="M22" s="40" t="s">
        <v>98</v>
      </c>
      <c r="N22" s="111" t="s">
        <v>57</v>
      </c>
      <c r="O22" s="293" t="s">
        <v>159</v>
      </c>
      <c r="P22" s="57">
        <f t="shared" si="1"/>
        <v>0</v>
      </c>
      <c r="Q22" s="49">
        <f t="shared" si="0"/>
        <v>0</v>
      </c>
    </row>
    <row r="23" spans="1:17" ht="174" customHeight="1">
      <c r="A23" s="58">
        <f>A22+1</f>
        <v>11</v>
      </c>
      <c r="B23" s="71" t="s">
        <v>50</v>
      </c>
      <c r="C23" s="58" t="s">
        <v>39</v>
      </c>
      <c r="D23" s="341" t="s">
        <v>43</v>
      </c>
      <c r="E23" s="16">
        <v>35797.843000000001</v>
      </c>
      <c r="F23" s="28">
        <f>E23-10437.014</f>
        <v>25360.829000000002</v>
      </c>
      <c r="G23" s="28"/>
      <c r="H23" s="28"/>
      <c r="I23" s="28">
        <f t="shared" ref="I23:I32" si="2">F23</f>
        <v>25360.829000000002</v>
      </c>
      <c r="J23" s="29"/>
      <c r="K23" s="29"/>
      <c r="L23" s="28"/>
      <c r="M23" s="40" t="s">
        <v>99</v>
      </c>
      <c r="N23" s="111" t="s">
        <v>59</v>
      </c>
      <c r="O23" s="293" t="s">
        <v>159</v>
      </c>
      <c r="P23" s="57">
        <f t="shared" si="1"/>
        <v>0</v>
      </c>
      <c r="Q23" s="49">
        <f t="shared" si="0"/>
        <v>0</v>
      </c>
    </row>
    <row r="24" spans="1:17" ht="156.75" customHeight="1">
      <c r="A24" s="58">
        <f t="shared" ref="A24:A85" si="3">A23+1</f>
        <v>12</v>
      </c>
      <c r="B24" s="71" t="s">
        <v>51</v>
      </c>
      <c r="C24" s="58" t="s">
        <v>39</v>
      </c>
      <c r="D24" s="341"/>
      <c r="E24" s="16">
        <v>24980.645</v>
      </c>
      <c r="F24" s="28">
        <f>E24-7271.621</f>
        <v>17709.024000000001</v>
      </c>
      <c r="G24" s="28"/>
      <c r="H24" s="28"/>
      <c r="I24" s="28">
        <f t="shared" si="2"/>
        <v>17709.024000000001</v>
      </c>
      <c r="J24" s="29"/>
      <c r="K24" s="29"/>
      <c r="L24" s="28"/>
      <c r="M24" s="40" t="s">
        <v>100</v>
      </c>
      <c r="N24" s="111" t="s">
        <v>59</v>
      </c>
      <c r="O24" s="293" t="s">
        <v>159</v>
      </c>
      <c r="P24" s="57">
        <f t="shared" si="1"/>
        <v>0</v>
      </c>
      <c r="Q24" s="49">
        <f t="shared" si="0"/>
        <v>0</v>
      </c>
    </row>
    <row r="25" spans="1:17" ht="108.75" customHeight="1">
      <c r="A25" s="58">
        <f t="shared" si="3"/>
        <v>13</v>
      </c>
      <c r="B25" s="71" t="s">
        <v>52</v>
      </c>
      <c r="C25" s="58">
        <v>2019</v>
      </c>
      <c r="D25" s="341"/>
      <c r="E25" s="15">
        <v>24216.973000000002</v>
      </c>
      <c r="F25" s="16">
        <v>24216.973000000002</v>
      </c>
      <c r="G25" s="28"/>
      <c r="H25" s="28"/>
      <c r="I25" s="28">
        <f t="shared" si="2"/>
        <v>24216.973000000002</v>
      </c>
      <c r="J25" s="29"/>
      <c r="K25" s="29"/>
      <c r="L25" s="28"/>
      <c r="M25" s="40" t="s">
        <v>101</v>
      </c>
      <c r="N25" s="111" t="s">
        <v>59</v>
      </c>
      <c r="O25" s="293" t="s">
        <v>159</v>
      </c>
      <c r="P25" s="57">
        <f t="shared" si="1"/>
        <v>0</v>
      </c>
      <c r="Q25" s="49">
        <f t="shared" si="0"/>
        <v>0</v>
      </c>
    </row>
    <row r="26" spans="1:17" ht="95.25" customHeight="1">
      <c r="A26" s="58">
        <f t="shared" si="3"/>
        <v>14</v>
      </c>
      <c r="B26" s="71" t="s">
        <v>53</v>
      </c>
      <c r="C26" s="58">
        <v>2019</v>
      </c>
      <c r="D26" s="341"/>
      <c r="E26" s="15">
        <v>22181.082999999999</v>
      </c>
      <c r="F26" s="16">
        <v>22181.082999999999</v>
      </c>
      <c r="G26" s="28"/>
      <c r="H26" s="28"/>
      <c r="I26" s="28">
        <f t="shared" si="2"/>
        <v>22181.082999999999</v>
      </c>
      <c r="J26" s="29"/>
      <c r="K26" s="29"/>
      <c r="L26" s="28"/>
      <c r="M26" s="40" t="s">
        <v>102</v>
      </c>
      <c r="N26" s="111" t="s">
        <v>59</v>
      </c>
      <c r="O26" s="293" t="s">
        <v>159</v>
      </c>
      <c r="P26" s="57">
        <f t="shared" si="1"/>
        <v>0</v>
      </c>
      <c r="Q26" s="49">
        <f t="shared" si="0"/>
        <v>0</v>
      </c>
    </row>
    <row r="27" spans="1:17" ht="64.5" customHeight="1">
      <c r="A27" s="58">
        <f t="shared" si="3"/>
        <v>15</v>
      </c>
      <c r="B27" s="71" t="s">
        <v>54</v>
      </c>
      <c r="C27" s="292">
        <v>2019</v>
      </c>
      <c r="D27" s="340" t="s">
        <v>150</v>
      </c>
      <c r="E27" s="15">
        <v>17569.844000000001</v>
      </c>
      <c r="F27" s="16">
        <v>17569.844000000001</v>
      </c>
      <c r="G27" s="28"/>
      <c r="H27" s="28"/>
      <c r="I27" s="28">
        <f>F27</f>
        <v>17569.844000000001</v>
      </c>
      <c r="J27" s="29"/>
      <c r="K27" s="29"/>
      <c r="L27" s="28"/>
      <c r="M27" s="40" t="s">
        <v>103</v>
      </c>
      <c r="N27" s="329" t="s">
        <v>60</v>
      </c>
      <c r="O27" s="293" t="s">
        <v>159</v>
      </c>
      <c r="P27" s="57">
        <f t="shared" si="1"/>
        <v>0</v>
      </c>
      <c r="Q27" s="49">
        <f t="shared" si="0"/>
        <v>0</v>
      </c>
    </row>
    <row r="28" spans="1:17" ht="64.5" customHeight="1">
      <c r="A28" s="58">
        <f t="shared" si="3"/>
        <v>16</v>
      </c>
      <c r="B28" s="71" t="s">
        <v>156</v>
      </c>
      <c r="C28" s="292">
        <v>2019</v>
      </c>
      <c r="D28" s="340"/>
      <c r="E28" s="16">
        <v>10564.763999999999</v>
      </c>
      <c r="F28" s="16">
        <v>10564.763999999999</v>
      </c>
      <c r="G28" s="28"/>
      <c r="H28" s="28"/>
      <c r="I28" s="28">
        <f t="shared" si="2"/>
        <v>10564.763999999999</v>
      </c>
      <c r="J28" s="29"/>
      <c r="K28" s="29"/>
      <c r="L28" s="28"/>
      <c r="M28" s="40" t="s">
        <v>104</v>
      </c>
      <c r="N28" s="329"/>
      <c r="O28" s="293" t="s">
        <v>159</v>
      </c>
      <c r="P28" s="57">
        <f t="shared" si="1"/>
        <v>0</v>
      </c>
      <c r="Q28" s="49">
        <f t="shared" si="0"/>
        <v>0</v>
      </c>
    </row>
    <row r="29" spans="1:17" ht="64.5" customHeight="1">
      <c r="A29" s="58">
        <f t="shared" si="3"/>
        <v>17</v>
      </c>
      <c r="B29" s="71" t="s">
        <v>157</v>
      </c>
      <c r="C29" s="292">
        <v>2019</v>
      </c>
      <c r="D29" s="340"/>
      <c r="E29" s="16">
        <v>13691.221</v>
      </c>
      <c r="F29" s="16">
        <v>13691.221</v>
      </c>
      <c r="G29" s="28"/>
      <c r="H29" s="28"/>
      <c r="I29" s="28">
        <f t="shared" si="2"/>
        <v>13691.221</v>
      </c>
      <c r="J29" s="29"/>
      <c r="K29" s="29"/>
      <c r="L29" s="28"/>
      <c r="M29" s="40" t="s">
        <v>105</v>
      </c>
      <c r="N29" s="329"/>
      <c r="O29" s="293" t="s">
        <v>159</v>
      </c>
      <c r="P29" s="57">
        <f t="shared" si="1"/>
        <v>0</v>
      </c>
      <c r="Q29" s="49">
        <f t="shared" si="0"/>
        <v>0</v>
      </c>
    </row>
    <row r="30" spans="1:17" ht="69" customHeight="1">
      <c r="A30" s="58">
        <f t="shared" si="3"/>
        <v>18</v>
      </c>
      <c r="B30" s="71" t="s">
        <v>160</v>
      </c>
      <c r="C30" s="292">
        <v>2019</v>
      </c>
      <c r="D30" s="340"/>
      <c r="E30" s="16">
        <v>3971.9259999999999</v>
      </c>
      <c r="F30" s="16">
        <v>3971.9259999999999</v>
      </c>
      <c r="G30" s="28"/>
      <c r="H30" s="28"/>
      <c r="I30" s="28">
        <f t="shared" si="2"/>
        <v>3971.9259999999999</v>
      </c>
      <c r="J30" s="29"/>
      <c r="K30" s="29"/>
      <c r="L30" s="28"/>
      <c r="M30" s="40" t="s">
        <v>106</v>
      </c>
      <c r="N30" s="329"/>
      <c r="O30" s="293" t="s">
        <v>159</v>
      </c>
      <c r="P30" s="57">
        <f t="shared" si="1"/>
        <v>0</v>
      </c>
      <c r="Q30" s="49">
        <f t="shared" si="0"/>
        <v>0</v>
      </c>
    </row>
    <row r="31" spans="1:17" ht="64.5" customHeight="1">
      <c r="A31" s="58">
        <f t="shared" si="3"/>
        <v>19</v>
      </c>
      <c r="B31" s="71" t="s">
        <v>161</v>
      </c>
      <c r="C31" s="292">
        <v>2019</v>
      </c>
      <c r="D31" s="340"/>
      <c r="E31" s="16">
        <v>13872.511</v>
      </c>
      <c r="F31" s="16">
        <v>13872.511</v>
      </c>
      <c r="G31" s="28"/>
      <c r="H31" s="28"/>
      <c r="I31" s="28">
        <f t="shared" si="2"/>
        <v>13872.511</v>
      </c>
      <c r="J31" s="29"/>
      <c r="K31" s="29"/>
      <c r="L31" s="28"/>
      <c r="M31" s="40" t="s">
        <v>107</v>
      </c>
      <c r="N31" s="329"/>
      <c r="O31" s="293" t="s">
        <v>159</v>
      </c>
      <c r="P31" s="57">
        <f t="shared" si="1"/>
        <v>0</v>
      </c>
      <c r="Q31" s="49">
        <f t="shared" si="0"/>
        <v>0</v>
      </c>
    </row>
    <row r="32" spans="1:17" ht="67.5" customHeight="1">
      <c r="A32" s="58">
        <f t="shared" si="3"/>
        <v>20</v>
      </c>
      <c r="B32" s="71" t="s">
        <v>158</v>
      </c>
      <c r="C32" s="292">
        <v>2019</v>
      </c>
      <c r="D32" s="340"/>
      <c r="E32" s="16">
        <v>10538.617</v>
      </c>
      <c r="F32" s="16">
        <v>10538.617</v>
      </c>
      <c r="G32" s="28"/>
      <c r="H32" s="28"/>
      <c r="I32" s="28">
        <f t="shared" si="2"/>
        <v>10538.617</v>
      </c>
      <c r="J32" s="29"/>
      <c r="K32" s="29"/>
      <c r="L32" s="28"/>
      <c r="M32" s="40" t="s">
        <v>108</v>
      </c>
      <c r="N32" s="329"/>
      <c r="O32" s="293" t="s">
        <v>159</v>
      </c>
      <c r="P32" s="57">
        <f t="shared" si="1"/>
        <v>0</v>
      </c>
      <c r="Q32" s="49">
        <f t="shared" si="0"/>
        <v>0</v>
      </c>
    </row>
    <row r="33" spans="1:17" ht="196.5" customHeight="1">
      <c r="A33" s="58">
        <f t="shared" si="3"/>
        <v>21</v>
      </c>
      <c r="B33" s="72" t="s">
        <v>56</v>
      </c>
      <c r="C33" s="292">
        <v>2019</v>
      </c>
      <c r="D33" s="110" t="s">
        <v>140</v>
      </c>
      <c r="E33" s="115">
        <v>57736.341999999997</v>
      </c>
      <c r="F33" s="37">
        <f>E33</f>
        <v>57736.341999999997</v>
      </c>
      <c r="G33" s="28"/>
      <c r="H33" s="37"/>
      <c r="I33" s="37">
        <f>F33</f>
        <v>57736.341999999997</v>
      </c>
      <c r="J33" s="38"/>
      <c r="K33" s="38"/>
      <c r="L33" s="37"/>
      <c r="M33" s="40" t="s">
        <v>109</v>
      </c>
      <c r="N33" s="111" t="s">
        <v>58</v>
      </c>
      <c r="O33" s="293" t="s">
        <v>159</v>
      </c>
      <c r="P33" s="57">
        <f t="shared" si="1"/>
        <v>0</v>
      </c>
      <c r="Q33" s="49">
        <f t="shared" si="0"/>
        <v>0</v>
      </c>
    </row>
    <row r="34" spans="1:17" ht="189">
      <c r="A34" s="58">
        <f t="shared" si="3"/>
        <v>22</v>
      </c>
      <c r="B34" s="22" t="s">
        <v>61</v>
      </c>
      <c r="C34" s="58" t="s">
        <v>27</v>
      </c>
      <c r="D34" s="110" t="s">
        <v>62</v>
      </c>
      <c r="E34" s="30">
        <v>19685.003000000001</v>
      </c>
      <c r="F34" s="37">
        <f>J34+K34</f>
        <v>4920.9979999999987</v>
      </c>
      <c r="G34" s="28"/>
      <c r="H34" s="37"/>
      <c r="I34" s="37"/>
      <c r="J34" s="38">
        <f>17716.5-7531.95-5321.43</f>
        <v>4863.119999999999</v>
      </c>
      <c r="K34" s="38">
        <f>1968.503-1910.625</f>
        <v>57.877999999999929</v>
      </c>
      <c r="L34" s="37"/>
      <c r="M34" s="111" t="s">
        <v>110</v>
      </c>
      <c r="N34" s="111" t="s">
        <v>84</v>
      </c>
      <c r="O34" s="20" t="s">
        <v>162</v>
      </c>
      <c r="P34" s="57">
        <f t="shared" si="1"/>
        <v>0</v>
      </c>
      <c r="Q34" s="49">
        <f t="shared" si="0"/>
        <v>-2.2737367544323206E-13</v>
      </c>
    </row>
    <row r="35" spans="1:17" ht="218.25" customHeight="1">
      <c r="A35" s="58">
        <f t="shared" si="3"/>
        <v>23</v>
      </c>
      <c r="B35" s="22" t="s">
        <v>63</v>
      </c>
      <c r="C35" s="58" t="s">
        <v>39</v>
      </c>
      <c r="D35" s="110" t="s">
        <v>62</v>
      </c>
      <c r="E35" s="115">
        <v>10005.731</v>
      </c>
      <c r="F35" s="37">
        <f t="shared" ref="F35:F50" si="4">J35+K35</f>
        <v>5139.491</v>
      </c>
      <c r="G35" s="28"/>
      <c r="H35" s="37"/>
      <c r="I35" s="37"/>
      <c r="J35" s="38">
        <f>E35*0.9-3955.24</f>
        <v>5049.9179000000004</v>
      </c>
      <c r="K35" s="38">
        <f>E35*0.1-911</f>
        <v>89.573100000000068</v>
      </c>
      <c r="L35" s="37"/>
      <c r="M35" s="111" t="s">
        <v>111</v>
      </c>
      <c r="N35" s="111" t="s">
        <v>84</v>
      </c>
      <c r="O35" s="20" t="s">
        <v>162</v>
      </c>
      <c r="P35" s="57">
        <f t="shared" si="1"/>
        <v>0</v>
      </c>
      <c r="Q35" s="49">
        <f t="shared" si="0"/>
        <v>-4.5474735088646412E-13</v>
      </c>
    </row>
    <row r="36" spans="1:17" ht="159.75" customHeight="1">
      <c r="A36" s="58">
        <f t="shared" si="3"/>
        <v>24</v>
      </c>
      <c r="B36" s="73" t="s">
        <v>79</v>
      </c>
      <c r="C36" s="58" t="s">
        <v>27</v>
      </c>
      <c r="D36" s="110" t="s">
        <v>62</v>
      </c>
      <c r="E36" s="115">
        <v>19382.317999999999</v>
      </c>
      <c r="F36" s="37">
        <f t="shared" si="4"/>
        <v>9407.8099999999977</v>
      </c>
      <c r="G36" s="28"/>
      <c r="H36" s="37"/>
      <c r="I36" s="37"/>
      <c r="J36" s="38">
        <f>17444.1-3484.25-4552.04</f>
        <v>9407.8099999999977</v>
      </c>
      <c r="K36" s="38">
        <f>1938.262-1938.262</f>
        <v>0</v>
      </c>
      <c r="L36" s="37"/>
      <c r="M36" s="24" t="s">
        <v>113</v>
      </c>
      <c r="N36" s="7" t="s">
        <v>59</v>
      </c>
      <c r="O36" s="20" t="s">
        <v>162</v>
      </c>
      <c r="P36" s="57">
        <f t="shared" si="1"/>
        <v>0</v>
      </c>
      <c r="Q36" s="49">
        <f t="shared" si="0"/>
        <v>0</v>
      </c>
    </row>
    <row r="37" spans="1:17" ht="197.25" customHeight="1">
      <c r="A37" s="58">
        <f t="shared" si="3"/>
        <v>25</v>
      </c>
      <c r="B37" s="22" t="s">
        <v>64</v>
      </c>
      <c r="C37" s="292">
        <v>2019</v>
      </c>
      <c r="D37" s="110" t="s">
        <v>62</v>
      </c>
      <c r="E37" s="115">
        <v>2422.4119999999998</v>
      </c>
      <c r="F37" s="37">
        <v>1318.9059999999999</v>
      </c>
      <c r="G37" s="28"/>
      <c r="H37" s="37"/>
      <c r="I37" s="37"/>
      <c r="J37" s="38"/>
      <c r="K37" s="38"/>
      <c r="L37" s="38">
        <f>F37</f>
        <v>1318.9059999999999</v>
      </c>
      <c r="M37" s="111" t="s">
        <v>112</v>
      </c>
      <c r="N37" s="111" t="s">
        <v>81</v>
      </c>
      <c r="O37" s="20" t="s">
        <v>162</v>
      </c>
      <c r="P37" s="57">
        <f t="shared" si="1"/>
        <v>0</v>
      </c>
      <c r="Q37" s="49">
        <f t="shared" si="0"/>
        <v>0</v>
      </c>
    </row>
    <row r="38" spans="1:17" ht="240" customHeight="1">
      <c r="A38" s="58">
        <f t="shared" si="3"/>
        <v>26</v>
      </c>
      <c r="B38" s="73" t="s">
        <v>65</v>
      </c>
      <c r="C38" s="58" t="s">
        <v>39</v>
      </c>
      <c r="D38" s="110" t="s">
        <v>89</v>
      </c>
      <c r="E38" s="115">
        <v>6864.6790000000001</v>
      </c>
      <c r="F38" s="37">
        <f t="shared" si="4"/>
        <v>5043.5540000000001</v>
      </c>
      <c r="G38" s="28"/>
      <c r="H38" s="37"/>
      <c r="I38" s="37"/>
      <c r="J38" s="38">
        <f>E38*0.9-1528.523</f>
        <v>4649.6881000000003</v>
      </c>
      <c r="K38" s="38">
        <f>E38*0.1-292.602</f>
        <v>393.86590000000012</v>
      </c>
      <c r="L38" s="37"/>
      <c r="M38" s="111" t="s">
        <v>114</v>
      </c>
      <c r="N38" s="111" t="s">
        <v>81</v>
      </c>
      <c r="O38" s="20" t="s">
        <v>162</v>
      </c>
      <c r="P38" s="57">
        <f t="shared" si="1"/>
        <v>0</v>
      </c>
      <c r="Q38" s="49">
        <f t="shared" si="0"/>
        <v>-3.4106051316484809E-13</v>
      </c>
    </row>
    <row r="39" spans="1:17" ht="220.5" customHeight="1">
      <c r="A39" s="58">
        <f t="shared" si="3"/>
        <v>27</v>
      </c>
      <c r="B39" s="73" t="s">
        <v>66</v>
      </c>
      <c r="C39" s="58" t="s">
        <v>39</v>
      </c>
      <c r="D39" s="110" t="s">
        <v>89</v>
      </c>
      <c r="E39" s="115">
        <v>10845.843000000001</v>
      </c>
      <c r="F39" s="37">
        <f t="shared" si="4"/>
        <v>8873.2720000000008</v>
      </c>
      <c r="G39" s="28"/>
      <c r="H39" s="37"/>
      <c r="I39" s="37"/>
      <c r="J39" s="38">
        <f>E39*0.9-1631.072</f>
        <v>8130.1867000000002</v>
      </c>
      <c r="K39" s="38">
        <f>E39*0.1-341.499</f>
        <v>743.08530000000019</v>
      </c>
      <c r="L39" s="37"/>
      <c r="M39" s="14" t="s">
        <v>115</v>
      </c>
      <c r="N39" s="111" t="s">
        <v>81</v>
      </c>
      <c r="O39" s="20" t="s">
        <v>162</v>
      </c>
      <c r="P39" s="57">
        <f t="shared" si="1"/>
        <v>0</v>
      </c>
      <c r="Q39" s="49">
        <f t="shared" si="0"/>
        <v>4.5474735088646412E-13</v>
      </c>
    </row>
    <row r="40" spans="1:17" ht="226.5" customHeight="1">
      <c r="A40" s="58">
        <f t="shared" si="3"/>
        <v>28</v>
      </c>
      <c r="B40" s="73" t="s">
        <v>67</v>
      </c>
      <c r="C40" s="58" t="s">
        <v>39</v>
      </c>
      <c r="D40" s="110" t="s">
        <v>89</v>
      </c>
      <c r="E40" s="115">
        <v>5134.8720000000003</v>
      </c>
      <c r="F40" s="37">
        <f t="shared" si="4"/>
        <v>3795.4300000000007</v>
      </c>
      <c r="G40" s="28"/>
      <c r="H40" s="37"/>
      <c r="I40" s="37"/>
      <c r="J40" s="38">
        <f>E40*0.9-1129.346</f>
        <v>3492.0388000000007</v>
      </c>
      <c r="K40" s="38">
        <f>E40*0.1-210.096</f>
        <v>303.39120000000003</v>
      </c>
      <c r="L40" s="37"/>
      <c r="M40" s="111" t="s">
        <v>116</v>
      </c>
      <c r="N40" s="111" t="s">
        <v>81</v>
      </c>
      <c r="O40" s="20" t="s">
        <v>162</v>
      </c>
      <c r="P40" s="57">
        <f t="shared" si="1"/>
        <v>0</v>
      </c>
      <c r="Q40" s="49">
        <f t="shared" si="0"/>
        <v>0</v>
      </c>
    </row>
    <row r="41" spans="1:17" ht="223.5" customHeight="1">
      <c r="A41" s="58">
        <f t="shared" si="3"/>
        <v>29</v>
      </c>
      <c r="B41" s="73" t="s">
        <v>68</v>
      </c>
      <c r="C41" s="58" t="s">
        <v>39</v>
      </c>
      <c r="D41" s="341" t="s">
        <v>89</v>
      </c>
      <c r="E41" s="115">
        <v>5207.9210000000003</v>
      </c>
      <c r="F41" s="37">
        <f t="shared" si="4"/>
        <v>3823.2290000000007</v>
      </c>
      <c r="G41" s="28"/>
      <c r="H41" s="37"/>
      <c r="I41" s="37"/>
      <c r="J41" s="38">
        <f>E41*0.9-1107</f>
        <v>3580.1289000000006</v>
      </c>
      <c r="K41" s="38">
        <f>E41*0.1-277.692</f>
        <v>243.1001</v>
      </c>
      <c r="L41" s="37"/>
      <c r="M41" s="111" t="s">
        <v>117</v>
      </c>
      <c r="N41" s="329" t="s">
        <v>81</v>
      </c>
      <c r="O41" s="20" t="s">
        <v>162</v>
      </c>
      <c r="P41" s="57">
        <f t="shared" si="1"/>
        <v>0</v>
      </c>
      <c r="Q41" s="49">
        <f t="shared" si="0"/>
        <v>1.1368683772161603E-13</v>
      </c>
    </row>
    <row r="42" spans="1:17" ht="114.75" customHeight="1">
      <c r="A42" s="58">
        <f t="shared" si="3"/>
        <v>30</v>
      </c>
      <c r="B42" s="73" t="s">
        <v>70</v>
      </c>
      <c r="C42" s="58" t="s">
        <v>39</v>
      </c>
      <c r="D42" s="341"/>
      <c r="E42" s="115">
        <v>8741.3169999999991</v>
      </c>
      <c r="F42" s="37">
        <f t="shared" si="4"/>
        <v>7998.0069999999987</v>
      </c>
      <c r="G42" s="28"/>
      <c r="H42" s="37"/>
      <c r="I42" s="37"/>
      <c r="J42" s="38">
        <f>E42*0.9-668.979</f>
        <v>7198.2062999999989</v>
      </c>
      <c r="K42" s="38">
        <f>E42*0.1-74.331</f>
        <v>799.80069999999989</v>
      </c>
      <c r="L42" s="37"/>
      <c r="M42" s="111" t="s">
        <v>118</v>
      </c>
      <c r="N42" s="329"/>
      <c r="O42" s="20" t="s">
        <v>162</v>
      </c>
      <c r="P42" s="57">
        <f t="shared" si="1"/>
        <v>0</v>
      </c>
      <c r="Q42" s="49">
        <f t="shared" si="0"/>
        <v>-1.1368683772161603E-13</v>
      </c>
    </row>
    <row r="43" spans="1:17" ht="110.25" customHeight="1">
      <c r="A43" s="58">
        <f t="shared" si="3"/>
        <v>31</v>
      </c>
      <c r="B43" s="73" t="s">
        <v>71</v>
      </c>
      <c r="C43" s="58" t="s">
        <v>39</v>
      </c>
      <c r="D43" s="341"/>
      <c r="E43" s="115">
        <v>9000.8160000000007</v>
      </c>
      <c r="F43" s="37">
        <f t="shared" si="4"/>
        <v>8097.8160000000016</v>
      </c>
      <c r="G43" s="28"/>
      <c r="H43" s="37"/>
      <c r="I43" s="37"/>
      <c r="J43" s="38">
        <f>E43*0.9-812.7</f>
        <v>7288.0344000000014</v>
      </c>
      <c r="K43" s="38">
        <f>E43*0.1-90.3</f>
        <v>809.78160000000014</v>
      </c>
      <c r="L43" s="37"/>
      <c r="M43" s="14" t="s">
        <v>120</v>
      </c>
      <c r="N43" s="329"/>
      <c r="O43" s="20" t="s">
        <v>162</v>
      </c>
      <c r="P43" s="57">
        <f t="shared" si="1"/>
        <v>0</v>
      </c>
      <c r="Q43" s="49">
        <f t="shared" si="0"/>
        <v>1.1368683772161603E-13</v>
      </c>
    </row>
    <row r="44" spans="1:17" ht="110.25">
      <c r="A44" s="58">
        <f t="shared" si="3"/>
        <v>32</v>
      </c>
      <c r="B44" s="73" t="s">
        <v>72</v>
      </c>
      <c r="C44" s="58" t="s">
        <v>39</v>
      </c>
      <c r="D44" s="341"/>
      <c r="E44" s="115">
        <v>9314.0480000000007</v>
      </c>
      <c r="F44" s="37">
        <f t="shared" si="4"/>
        <v>8609.0780000000013</v>
      </c>
      <c r="G44" s="28"/>
      <c r="H44" s="37"/>
      <c r="I44" s="37"/>
      <c r="J44" s="38">
        <f>E44*0.9-634.473</f>
        <v>7748.1702000000005</v>
      </c>
      <c r="K44" s="38">
        <f>E44*0.1-70.497</f>
        <v>860.90780000000018</v>
      </c>
      <c r="L44" s="37"/>
      <c r="M44" s="14" t="s">
        <v>119</v>
      </c>
      <c r="N44" s="329"/>
      <c r="O44" s="20" t="s">
        <v>162</v>
      </c>
      <c r="P44" s="57">
        <f t="shared" si="1"/>
        <v>0</v>
      </c>
      <c r="Q44" s="49">
        <f t="shared" si="0"/>
        <v>6.8212102632969618E-13</v>
      </c>
    </row>
    <row r="45" spans="1:17" ht="189.75" customHeight="1">
      <c r="A45" s="58">
        <f t="shared" si="3"/>
        <v>33</v>
      </c>
      <c r="B45" s="66" t="s">
        <v>69</v>
      </c>
      <c r="C45" s="58" t="s">
        <v>39</v>
      </c>
      <c r="D45" s="110" t="s">
        <v>62</v>
      </c>
      <c r="E45" s="115">
        <v>49535.347000000002</v>
      </c>
      <c r="F45" s="37">
        <f>E45</f>
        <v>49535.347000000002</v>
      </c>
      <c r="G45" s="28"/>
      <c r="H45" s="37"/>
      <c r="I45" s="37"/>
      <c r="J45" s="38">
        <v>11210.6</v>
      </c>
      <c r="K45" s="38">
        <v>1245.616</v>
      </c>
      <c r="L45" s="38">
        <f>E45-J45-K45</f>
        <v>37079.131000000001</v>
      </c>
      <c r="M45" s="111" t="s">
        <v>121</v>
      </c>
      <c r="N45" s="111" t="s">
        <v>41</v>
      </c>
      <c r="O45" s="20" t="s">
        <v>162</v>
      </c>
      <c r="P45" s="57">
        <f t="shared" si="1"/>
        <v>0</v>
      </c>
      <c r="Q45" s="49">
        <f>F45-G45-H45-I45-J45-K45-L45</f>
        <v>0</v>
      </c>
    </row>
    <row r="46" spans="1:17" ht="63.75" customHeight="1">
      <c r="A46" s="58">
        <f t="shared" si="3"/>
        <v>34</v>
      </c>
      <c r="B46" s="23" t="s">
        <v>73</v>
      </c>
      <c r="C46" s="58" t="s">
        <v>39</v>
      </c>
      <c r="D46" s="341" t="s">
        <v>90</v>
      </c>
      <c r="E46" s="115">
        <v>12986.887000000001</v>
      </c>
      <c r="F46" s="37">
        <f t="shared" si="4"/>
        <v>9439.6790000000001</v>
      </c>
      <c r="G46" s="28"/>
      <c r="H46" s="37"/>
      <c r="I46" s="37"/>
      <c r="J46" s="38">
        <f>11688.198-2100-1447.208</f>
        <v>8140.99</v>
      </c>
      <c r="K46" s="38">
        <v>1298.6890000000001</v>
      </c>
      <c r="L46" s="37"/>
      <c r="M46" s="111" t="s">
        <v>122</v>
      </c>
      <c r="N46" s="342" t="s">
        <v>82</v>
      </c>
      <c r="O46" s="20" t="s">
        <v>162</v>
      </c>
      <c r="P46" s="57">
        <f t="shared" si="1"/>
        <v>0</v>
      </c>
      <c r="Q46" s="49">
        <f t="shared" si="0"/>
        <v>2.2737367544323206E-13</v>
      </c>
    </row>
    <row r="47" spans="1:17" ht="63.75" customHeight="1">
      <c r="A47" s="58">
        <f t="shared" si="3"/>
        <v>35</v>
      </c>
      <c r="B47" s="73" t="s">
        <v>74</v>
      </c>
      <c r="C47" s="58" t="s">
        <v>39</v>
      </c>
      <c r="D47" s="341"/>
      <c r="E47" s="115">
        <v>5723.4620000000004</v>
      </c>
      <c r="F47" s="37">
        <f t="shared" si="4"/>
        <v>4830.9619999999995</v>
      </c>
      <c r="G47" s="28"/>
      <c r="H47" s="37"/>
      <c r="I47" s="37"/>
      <c r="J47" s="38">
        <f>5151.116-892.5</f>
        <v>4258.616</v>
      </c>
      <c r="K47" s="38">
        <v>572.346</v>
      </c>
      <c r="L47" s="37"/>
      <c r="M47" s="111" t="s">
        <v>123</v>
      </c>
      <c r="N47" s="342"/>
      <c r="O47" s="20" t="s">
        <v>162</v>
      </c>
      <c r="P47" s="57">
        <f t="shared" si="1"/>
        <v>0</v>
      </c>
      <c r="Q47" s="49">
        <f t="shared" si="0"/>
        <v>-4.5474735088646412E-13</v>
      </c>
    </row>
    <row r="48" spans="1:17" ht="77.25" customHeight="1">
      <c r="A48" s="58">
        <f t="shared" si="3"/>
        <v>36</v>
      </c>
      <c r="B48" s="73" t="s">
        <v>75</v>
      </c>
      <c r="C48" s="58" t="s">
        <v>39</v>
      </c>
      <c r="D48" s="341"/>
      <c r="E48" s="115">
        <v>3268.2779999999998</v>
      </c>
      <c r="F48" s="37">
        <f t="shared" si="4"/>
        <v>3268.2779999999998</v>
      </c>
      <c r="G48" s="28"/>
      <c r="H48" s="37"/>
      <c r="I48" s="37"/>
      <c r="J48" s="38">
        <f>2941.45</f>
        <v>2941.45</v>
      </c>
      <c r="K48" s="38">
        <v>326.82799999999997</v>
      </c>
      <c r="L48" s="37"/>
      <c r="M48" s="115" t="s">
        <v>124</v>
      </c>
      <c r="N48" s="342"/>
      <c r="O48" s="20" t="s">
        <v>162</v>
      </c>
      <c r="P48" s="57">
        <f t="shared" si="1"/>
        <v>0</v>
      </c>
      <c r="Q48" s="49">
        <f t="shared" si="0"/>
        <v>0</v>
      </c>
    </row>
    <row r="49" spans="1:20" ht="48" customHeight="1">
      <c r="A49" s="58">
        <f t="shared" si="3"/>
        <v>37</v>
      </c>
      <c r="B49" s="73" t="s">
        <v>76</v>
      </c>
      <c r="C49" s="58" t="s">
        <v>39</v>
      </c>
      <c r="D49" s="341"/>
      <c r="E49" s="115">
        <v>6324.9939999999997</v>
      </c>
      <c r="F49" s="37">
        <f t="shared" si="4"/>
        <v>4035.2450000000003</v>
      </c>
      <c r="G49" s="28"/>
      <c r="H49" s="37"/>
      <c r="I49" s="37"/>
      <c r="J49" s="38">
        <f>5692.5-2289.749</f>
        <v>3402.7510000000002</v>
      </c>
      <c r="K49" s="38">
        <f>632.494</f>
        <v>632.49400000000003</v>
      </c>
      <c r="L49" s="37"/>
      <c r="M49" s="115" t="s">
        <v>126</v>
      </c>
      <c r="N49" s="342"/>
      <c r="O49" s="20" t="s">
        <v>162</v>
      </c>
      <c r="P49" s="57">
        <f t="shared" si="1"/>
        <v>0</v>
      </c>
      <c r="Q49" s="49">
        <f t="shared" si="0"/>
        <v>1.1368683772161603E-13</v>
      </c>
    </row>
    <row r="50" spans="1:20" ht="83.25" customHeight="1">
      <c r="A50" s="58">
        <f t="shared" si="3"/>
        <v>38</v>
      </c>
      <c r="B50" s="73" t="s">
        <v>77</v>
      </c>
      <c r="C50" s="58" t="s">
        <v>27</v>
      </c>
      <c r="D50" s="341"/>
      <c r="E50" s="115">
        <v>487.67500000000001</v>
      </c>
      <c r="F50" s="37">
        <f t="shared" si="4"/>
        <v>487.67499999999995</v>
      </c>
      <c r="G50" s="28"/>
      <c r="H50" s="37"/>
      <c r="I50" s="37"/>
      <c r="J50" s="38">
        <f>438.9</f>
        <v>438.9</v>
      </c>
      <c r="K50" s="38">
        <f>48.775</f>
        <v>48.774999999999999</v>
      </c>
      <c r="L50" s="37"/>
      <c r="M50" s="115" t="s">
        <v>125</v>
      </c>
      <c r="N50" s="342"/>
      <c r="O50" s="20" t="s">
        <v>162</v>
      </c>
      <c r="P50" s="57">
        <f t="shared" si="1"/>
        <v>0</v>
      </c>
      <c r="Q50" s="49">
        <f t="shared" si="0"/>
        <v>-2.1316282072803006E-14</v>
      </c>
    </row>
    <row r="51" spans="1:20" ht="185.25">
      <c r="A51" s="58">
        <f t="shared" si="3"/>
        <v>39</v>
      </c>
      <c r="B51" s="73" t="s">
        <v>78</v>
      </c>
      <c r="C51" s="58" t="s">
        <v>27</v>
      </c>
      <c r="D51" s="110" t="s">
        <v>62</v>
      </c>
      <c r="E51" s="115">
        <v>49726.913</v>
      </c>
      <c r="F51" s="37">
        <v>39926.642999999996</v>
      </c>
      <c r="G51" s="28"/>
      <c r="H51" s="37"/>
      <c r="I51" s="37"/>
      <c r="J51" s="38">
        <v>32459.387999999999</v>
      </c>
      <c r="K51" s="38">
        <f>E51*0.1-3223</f>
        <v>1749.6913000000004</v>
      </c>
      <c r="L51" s="37">
        <f>F51-J51-K51</f>
        <v>5717.563699999997</v>
      </c>
      <c r="M51" s="111" t="s">
        <v>127</v>
      </c>
      <c r="N51" s="111" t="s">
        <v>83</v>
      </c>
      <c r="O51" s="20" t="s">
        <v>162</v>
      </c>
      <c r="P51" s="57">
        <f t="shared" si="1"/>
        <v>0</v>
      </c>
      <c r="Q51" s="49">
        <f t="shared" si="0"/>
        <v>0</v>
      </c>
    </row>
    <row r="52" spans="1:20" s="55" customFormat="1" ht="180" customHeight="1">
      <c r="A52" s="31">
        <f t="shared" si="3"/>
        <v>40</v>
      </c>
      <c r="B52" s="23" t="s">
        <v>80</v>
      </c>
      <c r="C52" s="31">
        <v>2019</v>
      </c>
      <c r="D52" s="54" t="s">
        <v>43</v>
      </c>
      <c r="E52" s="38">
        <f>F52</f>
        <v>64395.892999999996</v>
      </c>
      <c r="F52" s="38">
        <f>L52</f>
        <v>64395.892999999996</v>
      </c>
      <c r="G52" s="29"/>
      <c r="H52" s="38"/>
      <c r="I52" s="38"/>
      <c r="J52" s="117"/>
      <c r="K52" s="38"/>
      <c r="L52" s="38">
        <v>64395.892999999996</v>
      </c>
      <c r="M52" s="14" t="s">
        <v>128</v>
      </c>
      <c r="N52" s="24" t="s">
        <v>59</v>
      </c>
      <c r="O52" s="20" t="s">
        <v>162</v>
      </c>
      <c r="P52" s="57">
        <f t="shared" si="1"/>
        <v>0</v>
      </c>
      <c r="Q52" s="49">
        <f t="shared" si="0"/>
        <v>0</v>
      </c>
    </row>
    <row r="53" spans="1:20" ht="409.5">
      <c r="A53" s="58">
        <f>A52+1</f>
        <v>41</v>
      </c>
      <c r="B53" s="22" t="s">
        <v>87</v>
      </c>
      <c r="C53" s="31" t="s">
        <v>39</v>
      </c>
      <c r="D53" s="54" t="s">
        <v>88</v>
      </c>
      <c r="E53" s="25">
        <v>88952.455000000002</v>
      </c>
      <c r="F53" s="38">
        <f>H53+K53+L53</f>
        <v>60968.923999999999</v>
      </c>
      <c r="G53" s="29"/>
      <c r="H53" s="38">
        <v>5000</v>
      </c>
      <c r="I53" s="38"/>
      <c r="J53" s="38"/>
      <c r="K53" s="38">
        <v>6000</v>
      </c>
      <c r="L53" s="38">
        <v>49968.923999999999</v>
      </c>
      <c r="M53" s="43" t="s">
        <v>129</v>
      </c>
      <c r="N53" s="24" t="s">
        <v>86</v>
      </c>
      <c r="O53" s="312" t="s">
        <v>134</v>
      </c>
      <c r="P53" s="57">
        <f t="shared" si="1"/>
        <v>0</v>
      </c>
      <c r="Q53" s="49">
        <f t="shared" si="0"/>
        <v>0</v>
      </c>
      <c r="S53" s="33" t="s">
        <v>135</v>
      </c>
      <c r="T53" s="33">
        <v>49968.923999999999</v>
      </c>
    </row>
    <row r="54" spans="1:20" ht="164.25">
      <c r="A54" s="58">
        <f t="shared" si="3"/>
        <v>42</v>
      </c>
      <c r="B54" s="66" t="s">
        <v>91</v>
      </c>
      <c r="C54" s="58">
        <v>2019</v>
      </c>
      <c r="D54" s="110" t="s">
        <v>97</v>
      </c>
      <c r="E54" s="111">
        <v>2500</v>
      </c>
      <c r="F54" s="37">
        <f>E54</f>
        <v>2500</v>
      </c>
      <c r="G54" s="28"/>
      <c r="H54" s="37"/>
      <c r="I54" s="37"/>
      <c r="J54" s="38"/>
      <c r="K54" s="38"/>
      <c r="L54" s="37">
        <f>F54</f>
        <v>2500</v>
      </c>
      <c r="M54" s="115" t="s">
        <v>132</v>
      </c>
      <c r="N54" s="111" t="s">
        <v>96</v>
      </c>
      <c r="O54" s="336" t="s">
        <v>133</v>
      </c>
      <c r="P54" s="57">
        <f t="shared" si="1"/>
        <v>0</v>
      </c>
      <c r="Q54" s="49">
        <f t="shared" si="0"/>
        <v>0</v>
      </c>
    </row>
    <row r="55" spans="1:20" ht="164.25">
      <c r="A55" s="58">
        <f t="shared" si="3"/>
        <v>43</v>
      </c>
      <c r="B55" s="66" t="s">
        <v>92</v>
      </c>
      <c r="C55" s="58">
        <v>2019</v>
      </c>
      <c r="D55" s="110" t="s">
        <v>97</v>
      </c>
      <c r="E55" s="111">
        <v>4000</v>
      </c>
      <c r="F55" s="37">
        <f t="shared" ref="F55:F58" si="5">E55</f>
        <v>4000</v>
      </c>
      <c r="G55" s="28"/>
      <c r="H55" s="37"/>
      <c r="I55" s="37"/>
      <c r="J55" s="38"/>
      <c r="K55" s="38"/>
      <c r="L55" s="37">
        <f t="shared" ref="L55:L58" si="6">F55</f>
        <v>4000</v>
      </c>
      <c r="M55" s="115" t="s">
        <v>132</v>
      </c>
      <c r="N55" s="111" t="s">
        <v>96</v>
      </c>
      <c r="O55" s="336"/>
      <c r="P55" s="57">
        <f t="shared" si="1"/>
        <v>0</v>
      </c>
      <c r="Q55" s="49">
        <f t="shared" si="0"/>
        <v>0</v>
      </c>
    </row>
    <row r="56" spans="1:20" ht="164.25">
      <c r="A56" s="58">
        <f t="shared" si="3"/>
        <v>44</v>
      </c>
      <c r="B56" s="66" t="s">
        <v>93</v>
      </c>
      <c r="C56" s="58">
        <v>2019</v>
      </c>
      <c r="D56" s="110" t="s">
        <v>97</v>
      </c>
      <c r="E56" s="111">
        <v>5000</v>
      </c>
      <c r="F56" s="37">
        <f t="shared" si="5"/>
        <v>5000</v>
      </c>
      <c r="G56" s="28"/>
      <c r="H56" s="37"/>
      <c r="I56" s="37"/>
      <c r="J56" s="38"/>
      <c r="K56" s="38"/>
      <c r="L56" s="37">
        <f t="shared" si="6"/>
        <v>5000</v>
      </c>
      <c r="M56" s="115" t="s">
        <v>132</v>
      </c>
      <c r="N56" s="111" t="s">
        <v>96</v>
      </c>
      <c r="O56" s="336"/>
      <c r="P56" s="57">
        <f t="shared" si="1"/>
        <v>0</v>
      </c>
      <c r="Q56" s="49">
        <f t="shared" si="0"/>
        <v>0</v>
      </c>
    </row>
    <row r="57" spans="1:20" ht="236.25" customHeight="1">
      <c r="A57" s="58">
        <f t="shared" si="3"/>
        <v>45</v>
      </c>
      <c r="B57" s="66" t="s">
        <v>94</v>
      </c>
      <c r="C57" s="58">
        <v>2019</v>
      </c>
      <c r="D57" s="341" t="s">
        <v>42</v>
      </c>
      <c r="E57" s="111">
        <v>24731.3</v>
      </c>
      <c r="F57" s="37">
        <f t="shared" si="5"/>
        <v>24731.3</v>
      </c>
      <c r="G57" s="37"/>
      <c r="H57" s="37"/>
      <c r="I57" s="37"/>
      <c r="J57" s="38"/>
      <c r="K57" s="38"/>
      <c r="L57" s="37">
        <f t="shared" si="6"/>
        <v>24731.3</v>
      </c>
      <c r="M57" s="111" t="s">
        <v>131</v>
      </c>
      <c r="N57" s="329" t="s">
        <v>82</v>
      </c>
      <c r="O57" s="336"/>
      <c r="P57" s="57">
        <f t="shared" si="1"/>
        <v>0</v>
      </c>
      <c r="Q57" s="49">
        <f t="shared" si="0"/>
        <v>0</v>
      </c>
    </row>
    <row r="58" spans="1:20" ht="47.25">
      <c r="A58" s="58">
        <f t="shared" si="3"/>
        <v>46</v>
      </c>
      <c r="B58" s="66" t="s">
        <v>95</v>
      </c>
      <c r="C58" s="58">
        <v>2019</v>
      </c>
      <c r="D58" s="341"/>
      <c r="E58" s="111">
        <v>5737.4880000000003</v>
      </c>
      <c r="F58" s="37">
        <f t="shared" si="5"/>
        <v>5737.4880000000003</v>
      </c>
      <c r="G58" s="37"/>
      <c r="H58" s="37"/>
      <c r="I58" s="37"/>
      <c r="J58" s="38"/>
      <c r="K58" s="38"/>
      <c r="L58" s="37">
        <f t="shared" si="6"/>
        <v>5737.4880000000003</v>
      </c>
      <c r="M58" s="115" t="s">
        <v>130</v>
      </c>
      <c r="N58" s="329"/>
      <c r="O58" s="336"/>
      <c r="P58" s="57">
        <f t="shared" si="1"/>
        <v>0</v>
      </c>
      <c r="Q58" s="49">
        <f t="shared" si="0"/>
        <v>0</v>
      </c>
    </row>
    <row r="59" spans="1:20" s="41" customFormat="1" ht="90" customHeight="1">
      <c r="A59" s="58">
        <f t="shared" si="3"/>
        <v>47</v>
      </c>
      <c r="B59" s="69" t="s">
        <v>141</v>
      </c>
      <c r="C59" s="58">
        <v>2019</v>
      </c>
      <c r="D59" s="341" t="s">
        <v>42</v>
      </c>
      <c r="E59" s="115">
        <v>75000</v>
      </c>
      <c r="F59" s="115">
        <f>G59+H59+I59+J59+K59+L59</f>
        <v>25000</v>
      </c>
      <c r="G59" s="115"/>
      <c r="H59" s="115"/>
      <c r="I59" s="115"/>
      <c r="J59" s="25">
        <v>25000</v>
      </c>
      <c r="K59" s="25"/>
      <c r="L59" s="115"/>
      <c r="M59" s="115"/>
      <c r="N59" s="329" t="s">
        <v>144</v>
      </c>
      <c r="O59" s="336" t="s">
        <v>151</v>
      </c>
      <c r="P59" s="57">
        <f t="shared" si="1"/>
        <v>0</v>
      </c>
      <c r="Q59" s="49">
        <f t="shared" si="0"/>
        <v>0</v>
      </c>
    </row>
    <row r="60" spans="1:20" s="41" customFormat="1" ht="63">
      <c r="A60" s="58">
        <f t="shared" si="3"/>
        <v>48</v>
      </c>
      <c r="B60" s="69" t="s">
        <v>142</v>
      </c>
      <c r="C60" s="58">
        <v>2019</v>
      </c>
      <c r="D60" s="341"/>
      <c r="E60" s="50">
        <v>13094.418</v>
      </c>
      <c r="F60" s="51">
        <v>12953.861000000001</v>
      </c>
      <c r="G60" s="115"/>
      <c r="H60" s="115"/>
      <c r="I60" s="115"/>
      <c r="J60" s="25"/>
      <c r="K60" s="38">
        <f>F60</f>
        <v>12953.861000000001</v>
      </c>
      <c r="L60" s="115"/>
      <c r="M60" s="115"/>
      <c r="N60" s="329"/>
      <c r="O60" s="336"/>
      <c r="P60" s="57">
        <f t="shared" si="1"/>
        <v>0</v>
      </c>
      <c r="Q60" s="49">
        <f t="shared" si="0"/>
        <v>0</v>
      </c>
    </row>
    <row r="61" spans="1:20" s="41" customFormat="1" ht="63">
      <c r="A61" s="58">
        <f t="shared" si="3"/>
        <v>49</v>
      </c>
      <c r="B61" s="69" t="s">
        <v>143</v>
      </c>
      <c r="C61" s="58">
        <v>2019</v>
      </c>
      <c r="D61" s="341"/>
      <c r="E61" s="50">
        <v>4734.0559999999996</v>
      </c>
      <c r="F61" s="50">
        <v>4370.4809999999998</v>
      </c>
      <c r="G61" s="115"/>
      <c r="H61" s="115"/>
      <c r="I61" s="115"/>
      <c r="J61" s="25">
        <f>F61</f>
        <v>4370.4809999999998</v>
      </c>
      <c r="K61" s="25"/>
      <c r="L61" s="115"/>
      <c r="M61" s="115"/>
      <c r="N61" s="329"/>
      <c r="O61" s="336"/>
      <c r="P61" s="57">
        <f t="shared" si="1"/>
        <v>0</v>
      </c>
      <c r="Q61" s="49">
        <f t="shared" si="0"/>
        <v>0</v>
      </c>
    </row>
    <row r="62" spans="1:20" s="41" customFormat="1" ht="148.5">
      <c r="A62" s="58">
        <f t="shared" si="3"/>
        <v>50</v>
      </c>
      <c r="B62" s="66" t="s">
        <v>163</v>
      </c>
      <c r="C62" s="301">
        <v>2019</v>
      </c>
      <c r="D62" s="61" t="s">
        <v>164</v>
      </c>
      <c r="E62" s="60"/>
      <c r="F62" s="60">
        <v>243.4</v>
      </c>
      <c r="G62" s="50"/>
      <c r="H62" s="50"/>
      <c r="I62" s="50"/>
      <c r="J62" s="50"/>
      <c r="K62" s="50">
        <v>243.4</v>
      </c>
      <c r="L62" s="50"/>
      <c r="M62" s="62" t="s">
        <v>224</v>
      </c>
      <c r="N62" s="339" t="s">
        <v>165</v>
      </c>
      <c r="O62" s="297"/>
      <c r="P62" s="57">
        <f t="shared" si="1"/>
        <v>0</v>
      </c>
      <c r="Q62" s="49">
        <f t="shared" si="0"/>
        <v>0</v>
      </c>
    </row>
    <row r="63" spans="1:20" s="41" customFormat="1" ht="158.25" customHeight="1">
      <c r="A63" s="58">
        <f t="shared" si="3"/>
        <v>51</v>
      </c>
      <c r="B63" s="66" t="s">
        <v>166</v>
      </c>
      <c r="C63" s="301">
        <v>2019</v>
      </c>
      <c r="D63" s="61" t="s">
        <v>167</v>
      </c>
      <c r="E63" s="60"/>
      <c r="F63" s="60">
        <v>756.6</v>
      </c>
      <c r="G63" s="50"/>
      <c r="H63" s="50"/>
      <c r="I63" s="50"/>
      <c r="J63" s="50"/>
      <c r="K63" s="50">
        <f>68.2+688.4</f>
        <v>756.6</v>
      </c>
      <c r="L63" s="115"/>
      <c r="M63" s="63" t="s">
        <v>168</v>
      </c>
      <c r="N63" s="339"/>
      <c r="O63" s="312" t="s">
        <v>231</v>
      </c>
      <c r="P63" s="57">
        <f t="shared" si="1"/>
        <v>0</v>
      </c>
      <c r="Q63" s="49">
        <f t="shared" si="0"/>
        <v>0</v>
      </c>
    </row>
    <row r="64" spans="1:20" s="41" customFormat="1" ht="196.5" customHeight="1">
      <c r="A64" s="58">
        <f t="shared" si="3"/>
        <v>52</v>
      </c>
      <c r="B64" s="81" t="s">
        <v>145</v>
      </c>
      <c r="C64" s="58">
        <v>2019</v>
      </c>
      <c r="D64" s="54" t="s">
        <v>43</v>
      </c>
      <c r="E64" s="75">
        <v>39288.445</v>
      </c>
      <c r="F64" s="75">
        <v>23345</v>
      </c>
      <c r="G64" s="76"/>
      <c r="H64" s="76"/>
      <c r="I64" s="76"/>
      <c r="J64" s="77"/>
      <c r="K64" s="77">
        <v>2345</v>
      </c>
      <c r="L64" s="77">
        <v>21000</v>
      </c>
      <c r="M64" s="78" t="s">
        <v>146</v>
      </c>
      <c r="N64" s="79" t="s">
        <v>171</v>
      </c>
      <c r="O64" s="54" t="s">
        <v>147</v>
      </c>
      <c r="P64" s="57">
        <f t="shared" si="1"/>
        <v>0</v>
      </c>
      <c r="Q64" s="49">
        <f t="shared" si="0"/>
        <v>0</v>
      </c>
    </row>
    <row r="65" spans="1:17" s="41" customFormat="1" ht="197.25" customHeight="1">
      <c r="A65" s="58">
        <f t="shared" si="3"/>
        <v>53</v>
      </c>
      <c r="B65" s="81" t="s">
        <v>148</v>
      </c>
      <c r="C65" s="58">
        <v>2019</v>
      </c>
      <c r="D65" s="54" t="s">
        <v>43</v>
      </c>
      <c r="E65" s="80">
        <v>76056.346999999994</v>
      </c>
      <c r="F65" s="75">
        <v>14000</v>
      </c>
      <c r="G65" s="76"/>
      <c r="H65" s="76"/>
      <c r="I65" s="76"/>
      <c r="J65" s="77"/>
      <c r="K65" s="77"/>
      <c r="L65" s="77">
        <v>14000</v>
      </c>
      <c r="M65" s="78" t="s">
        <v>149</v>
      </c>
      <c r="N65" s="79" t="s">
        <v>170</v>
      </c>
      <c r="O65" s="54" t="s">
        <v>147</v>
      </c>
      <c r="P65" s="57">
        <f t="shared" si="1"/>
        <v>0</v>
      </c>
      <c r="Q65" s="49">
        <f t="shared" si="0"/>
        <v>0</v>
      </c>
    </row>
    <row r="66" spans="1:17" ht="236.25">
      <c r="A66" s="58">
        <f t="shared" si="3"/>
        <v>54</v>
      </c>
      <c r="B66" s="82" t="s">
        <v>172</v>
      </c>
      <c r="C66" s="58" t="s">
        <v>28</v>
      </c>
      <c r="D66" s="83" t="s">
        <v>42</v>
      </c>
      <c r="E66" s="111">
        <v>80218.2</v>
      </c>
      <c r="F66" s="111">
        <v>80218.2</v>
      </c>
      <c r="G66" s="111"/>
      <c r="H66" s="111"/>
      <c r="I66" s="111"/>
      <c r="J66" s="24"/>
      <c r="K66" s="24"/>
      <c r="L66" s="111">
        <v>80218.2</v>
      </c>
      <c r="M66" s="111" t="s">
        <v>173</v>
      </c>
      <c r="N66" s="14" t="s">
        <v>139</v>
      </c>
      <c r="O66" s="293"/>
      <c r="P66" s="57">
        <f t="shared" si="1"/>
        <v>0</v>
      </c>
      <c r="Q66" s="49">
        <f t="shared" si="0"/>
        <v>0</v>
      </c>
    </row>
    <row r="67" spans="1:17" ht="120">
      <c r="A67" s="58">
        <f t="shared" si="3"/>
        <v>55</v>
      </c>
      <c r="B67" s="84" t="s">
        <v>174</v>
      </c>
      <c r="C67" s="292">
        <v>2019</v>
      </c>
      <c r="D67" s="50" t="s">
        <v>175</v>
      </c>
      <c r="E67" s="60">
        <v>34562.442000000003</v>
      </c>
      <c r="F67" s="60">
        <f t="shared" ref="F67" si="7">G67+H67+I67+J67+K67+L67</f>
        <v>34562.441999999995</v>
      </c>
      <c r="G67" s="60"/>
      <c r="H67" s="60"/>
      <c r="I67" s="60"/>
      <c r="J67" s="60"/>
      <c r="K67" s="60">
        <v>4000</v>
      </c>
      <c r="L67" s="60">
        <v>30562.441999999999</v>
      </c>
      <c r="M67" s="85" t="s">
        <v>176</v>
      </c>
      <c r="N67" s="85" t="s">
        <v>177</v>
      </c>
      <c r="O67" s="293"/>
      <c r="P67" s="57">
        <f t="shared" si="1"/>
        <v>0</v>
      </c>
      <c r="Q67" s="49">
        <f t="shared" si="0"/>
        <v>0</v>
      </c>
    </row>
    <row r="68" spans="1:17" ht="75">
      <c r="A68" s="58">
        <f t="shared" si="3"/>
        <v>56</v>
      </c>
      <c r="B68" s="84" t="s">
        <v>178</v>
      </c>
      <c r="C68" s="292">
        <v>2019</v>
      </c>
      <c r="D68" s="50" t="s">
        <v>179</v>
      </c>
      <c r="E68" s="60">
        <v>14000</v>
      </c>
      <c r="F68" s="60">
        <v>14000</v>
      </c>
      <c r="G68" s="60"/>
      <c r="H68" s="60"/>
      <c r="I68" s="60"/>
      <c r="J68" s="60"/>
      <c r="K68" s="60"/>
      <c r="L68" s="60">
        <v>14000</v>
      </c>
      <c r="M68" s="85" t="s">
        <v>180</v>
      </c>
      <c r="N68" s="338" t="s">
        <v>181</v>
      </c>
      <c r="O68" s="293"/>
      <c r="P68" s="57">
        <f t="shared" si="1"/>
        <v>0</v>
      </c>
      <c r="Q68" s="49">
        <f t="shared" si="0"/>
        <v>0</v>
      </c>
    </row>
    <row r="69" spans="1:17" ht="75">
      <c r="A69" s="58">
        <f t="shared" si="3"/>
        <v>57</v>
      </c>
      <c r="B69" s="84" t="s">
        <v>182</v>
      </c>
      <c r="C69" s="292">
        <v>2019</v>
      </c>
      <c r="D69" s="50"/>
      <c r="E69" s="60">
        <v>14000</v>
      </c>
      <c r="F69" s="60">
        <v>14000</v>
      </c>
      <c r="G69" s="60"/>
      <c r="H69" s="60"/>
      <c r="I69" s="60"/>
      <c r="J69" s="60"/>
      <c r="K69" s="60"/>
      <c r="L69" s="60">
        <v>14000</v>
      </c>
      <c r="M69" s="85" t="s">
        <v>183</v>
      </c>
      <c r="N69" s="338"/>
      <c r="O69" s="293"/>
      <c r="P69" s="57">
        <f t="shared" si="1"/>
        <v>0</v>
      </c>
      <c r="Q69" s="49">
        <f t="shared" si="0"/>
        <v>0</v>
      </c>
    </row>
    <row r="70" spans="1:17" ht="90">
      <c r="A70" s="58">
        <f t="shared" si="3"/>
        <v>58</v>
      </c>
      <c r="B70" s="84" t="s">
        <v>184</v>
      </c>
      <c r="C70" s="292">
        <v>2019</v>
      </c>
      <c r="D70" s="50" t="s">
        <v>179</v>
      </c>
      <c r="E70" s="60">
        <v>14000</v>
      </c>
      <c r="F70" s="60">
        <v>14000</v>
      </c>
      <c r="G70" s="60"/>
      <c r="H70" s="60"/>
      <c r="I70" s="60"/>
      <c r="J70" s="60"/>
      <c r="K70" s="60"/>
      <c r="L70" s="60">
        <v>14000</v>
      </c>
      <c r="M70" s="85" t="s">
        <v>185</v>
      </c>
      <c r="N70" s="338"/>
      <c r="O70" s="293"/>
      <c r="P70" s="57">
        <f t="shared" si="1"/>
        <v>0</v>
      </c>
      <c r="Q70" s="49">
        <f t="shared" si="0"/>
        <v>0</v>
      </c>
    </row>
    <row r="71" spans="1:17" ht="239.25" customHeight="1">
      <c r="A71" s="58">
        <f t="shared" si="3"/>
        <v>59</v>
      </c>
      <c r="B71" s="86" t="s">
        <v>186</v>
      </c>
      <c r="C71" s="8">
        <v>2019</v>
      </c>
      <c r="D71" s="53" t="s">
        <v>45</v>
      </c>
      <c r="E71" s="87">
        <v>4500</v>
      </c>
      <c r="F71" s="87">
        <v>4500</v>
      </c>
      <c r="G71" s="87"/>
      <c r="H71" s="88"/>
      <c r="I71" s="76"/>
      <c r="J71" s="77"/>
      <c r="K71" s="48">
        <v>450</v>
      </c>
      <c r="L71" s="76">
        <v>4050</v>
      </c>
      <c r="M71" s="89" t="s">
        <v>187</v>
      </c>
      <c r="N71" s="90" t="s">
        <v>41</v>
      </c>
      <c r="O71" s="293"/>
      <c r="P71" s="57">
        <f t="shared" si="1"/>
        <v>0</v>
      </c>
      <c r="Q71" s="49">
        <f t="shared" si="0"/>
        <v>0</v>
      </c>
    </row>
    <row r="72" spans="1:17" ht="262.5">
      <c r="A72" s="58">
        <f t="shared" si="3"/>
        <v>60</v>
      </c>
      <c r="B72" s="86" t="s">
        <v>188</v>
      </c>
      <c r="C72" s="36">
        <v>2019</v>
      </c>
      <c r="D72" s="53" t="s">
        <v>45</v>
      </c>
      <c r="E72" s="91">
        <v>2000</v>
      </c>
      <c r="F72" s="92">
        <v>2000</v>
      </c>
      <c r="G72" s="92"/>
      <c r="H72" s="88"/>
      <c r="I72" s="76"/>
      <c r="J72" s="77"/>
      <c r="K72" s="77"/>
      <c r="L72" s="76">
        <v>2000</v>
      </c>
      <c r="M72" s="93" t="s">
        <v>189</v>
      </c>
      <c r="N72" s="90" t="s">
        <v>41</v>
      </c>
      <c r="O72" s="293"/>
      <c r="P72" s="57">
        <f t="shared" si="1"/>
        <v>0</v>
      </c>
      <c r="Q72" s="49">
        <f t="shared" si="0"/>
        <v>0</v>
      </c>
    </row>
    <row r="73" spans="1:17" ht="206.25">
      <c r="A73" s="58">
        <f t="shared" si="3"/>
        <v>61</v>
      </c>
      <c r="B73" s="94" t="s">
        <v>190</v>
      </c>
      <c r="C73" s="302">
        <v>2019</v>
      </c>
      <c r="D73" s="86" t="s">
        <v>44</v>
      </c>
      <c r="E73" s="90">
        <v>1096.6880000000001</v>
      </c>
      <c r="F73" s="90">
        <f>E73</f>
        <v>1096.6880000000001</v>
      </c>
      <c r="G73" s="95"/>
      <c r="H73" s="88"/>
      <c r="I73" s="76"/>
      <c r="J73" s="77"/>
      <c r="K73" s="95"/>
      <c r="L73" s="76">
        <f>F73</f>
        <v>1096.6880000000001</v>
      </c>
      <c r="M73" s="96" t="s">
        <v>191</v>
      </c>
      <c r="N73" s="90" t="s">
        <v>36</v>
      </c>
      <c r="O73" s="293"/>
      <c r="P73" s="57">
        <f t="shared" si="1"/>
        <v>0</v>
      </c>
      <c r="Q73" s="49">
        <f t="shared" si="0"/>
        <v>0</v>
      </c>
    </row>
    <row r="74" spans="1:17" ht="94.5">
      <c r="A74" s="58">
        <f t="shared" si="3"/>
        <v>62</v>
      </c>
      <c r="B74" s="18" t="s">
        <v>192</v>
      </c>
      <c r="C74" s="303">
        <v>2019</v>
      </c>
      <c r="D74" s="50" t="s">
        <v>193</v>
      </c>
      <c r="E74" s="97">
        <v>3485.48</v>
      </c>
      <c r="F74" s="98">
        <f t="shared" ref="F74" si="8">G74+H74+I74+J74+K74+L74</f>
        <v>3485.48</v>
      </c>
      <c r="G74" s="97"/>
      <c r="H74" s="97"/>
      <c r="I74" s="97"/>
      <c r="J74" s="97"/>
      <c r="K74" s="98"/>
      <c r="L74" s="98">
        <v>3485.48</v>
      </c>
      <c r="M74" s="97" t="s">
        <v>194</v>
      </c>
      <c r="N74" s="99" t="s">
        <v>195</v>
      </c>
      <c r="O74" s="294"/>
      <c r="P74" s="57">
        <f t="shared" si="1"/>
        <v>0</v>
      </c>
      <c r="Q74" s="49">
        <f t="shared" si="0"/>
        <v>0</v>
      </c>
    </row>
    <row r="75" spans="1:17" ht="90">
      <c r="A75" s="58">
        <f t="shared" si="3"/>
        <v>63</v>
      </c>
      <c r="B75" s="18" t="s">
        <v>196</v>
      </c>
      <c r="C75" s="58">
        <v>2019</v>
      </c>
      <c r="D75" s="50" t="s">
        <v>193</v>
      </c>
      <c r="E75" s="101">
        <v>1060</v>
      </c>
      <c r="F75" s="102">
        <f t="shared" ref="F75:F77" si="9">SUM(G75:L75)</f>
        <v>1060</v>
      </c>
      <c r="G75" s="102"/>
      <c r="H75" s="102"/>
      <c r="I75" s="102"/>
      <c r="J75" s="101"/>
      <c r="K75" s="101"/>
      <c r="L75" s="101">
        <v>1060</v>
      </c>
      <c r="M75" s="97" t="s">
        <v>197</v>
      </c>
      <c r="N75" s="99" t="s">
        <v>195</v>
      </c>
      <c r="O75" s="297"/>
      <c r="P75" s="57">
        <f t="shared" si="1"/>
        <v>0</v>
      </c>
      <c r="Q75" s="49">
        <f t="shared" ref="Q75:Q85" si="10">F75-G75-H75-I75-J75-K75-L75</f>
        <v>0</v>
      </c>
    </row>
    <row r="76" spans="1:17" ht="94.5">
      <c r="A76" s="58">
        <f t="shared" si="3"/>
        <v>64</v>
      </c>
      <c r="B76" s="18" t="s">
        <v>198</v>
      </c>
      <c r="C76" s="58">
        <v>2019</v>
      </c>
      <c r="D76" s="50" t="s">
        <v>193</v>
      </c>
      <c r="E76" s="101">
        <v>8134</v>
      </c>
      <c r="F76" s="102">
        <f t="shared" si="9"/>
        <v>8134</v>
      </c>
      <c r="G76" s="102"/>
      <c r="H76" s="102"/>
      <c r="I76" s="102"/>
      <c r="J76" s="101"/>
      <c r="K76" s="101"/>
      <c r="L76" s="101">
        <v>8134</v>
      </c>
      <c r="M76" s="97" t="s">
        <v>199</v>
      </c>
      <c r="N76" s="99" t="s">
        <v>195</v>
      </c>
      <c r="O76" s="297"/>
      <c r="P76" s="57">
        <f t="shared" ref="P76:P85" si="11">G76+H76+I76+J76+K76+L76-F76</f>
        <v>0</v>
      </c>
      <c r="Q76" s="49">
        <f t="shared" si="10"/>
        <v>0</v>
      </c>
    </row>
    <row r="77" spans="1:17" ht="90">
      <c r="A77" s="58">
        <f t="shared" si="3"/>
        <v>65</v>
      </c>
      <c r="B77" s="18" t="s">
        <v>200</v>
      </c>
      <c r="C77" s="58">
        <v>2019</v>
      </c>
      <c r="D77" s="50" t="s">
        <v>193</v>
      </c>
      <c r="E77" s="101">
        <v>640</v>
      </c>
      <c r="F77" s="102">
        <f t="shared" si="9"/>
        <v>640</v>
      </c>
      <c r="G77" s="102"/>
      <c r="H77" s="102"/>
      <c r="I77" s="102"/>
      <c r="J77" s="101"/>
      <c r="K77" s="101"/>
      <c r="L77" s="101">
        <v>640</v>
      </c>
      <c r="M77" s="97" t="s">
        <v>201</v>
      </c>
      <c r="N77" s="99" t="s">
        <v>195</v>
      </c>
      <c r="O77" s="297"/>
      <c r="P77" s="57">
        <f t="shared" si="11"/>
        <v>0</v>
      </c>
      <c r="Q77" s="49">
        <f t="shared" si="10"/>
        <v>0</v>
      </c>
    </row>
    <row r="78" spans="1:17" ht="90">
      <c r="A78" s="58">
        <f t="shared" si="3"/>
        <v>66</v>
      </c>
      <c r="B78" s="18" t="s">
        <v>202</v>
      </c>
      <c r="C78" s="58">
        <v>2019</v>
      </c>
      <c r="D78" s="50" t="s">
        <v>193</v>
      </c>
      <c r="E78" s="101">
        <v>12000</v>
      </c>
      <c r="F78" s="102">
        <f>G78+H78+I78+J78+K78+L78</f>
        <v>12000</v>
      </c>
      <c r="G78" s="102">
        <v>7400</v>
      </c>
      <c r="H78" s="102"/>
      <c r="I78" s="102"/>
      <c r="J78" s="101"/>
      <c r="K78" s="101">
        <v>1000</v>
      </c>
      <c r="L78" s="101">
        <v>3600</v>
      </c>
      <c r="M78" s="97" t="s">
        <v>203</v>
      </c>
      <c r="N78" s="99" t="s">
        <v>195</v>
      </c>
      <c r="O78" s="297"/>
      <c r="P78" s="57">
        <f t="shared" si="11"/>
        <v>0</v>
      </c>
      <c r="Q78" s="49">
        <f t="shared" si="10"/>
        <v>0</v>
      </c>
    </row>
    <row r="79" spans="1:17" ht="105">
      <c r="A79" s="58">
        <f t="shared" si="3"/>
        <v>67</v>
      </c>
      <c r="B79" s="18" t="s">
        <v>204</v>
      </c>
      <c r="C79" s="304">
        <v>2019</v>
      </c>
      <c r="D79" s="103" t="s">
        <v>205</v>
      </c>
      <c r="E79" s="97">
        <v>16418.699000000001</v>
      </c>
      <c r="F79" s="104">
        <f>L79</f>
        <v>16248.7</v>
      </c>
      <c r="G79" s="99"/>
      <c r="H79" s="105"/>
      <c r="I79" s="105"/>
      <c r="J79" s="105"/>
      <c r="K79" s="98"/>
      <c r="L79" s="106">
        <v>16248.7</v>
      </c>
      <c r="M79" s="97" t="s">
        <v>206</v>
      </c>
      <c r="N79" s="99" t="s">
        <v>207</v>
      </c>
      <c r="O79" s="294"/>
      <c r="P79" s="57">
        <f t="shared" si="11"/>
        <v>0</v>
      </c>
      <c r="Q79" s="49">
        <f t="shared" si="10"/>
        <v>0</v>
      </c>
    </row>
    <row r="80" spans="1:17" ht="105">
      <c r="A80" s="58">
        <f t="shared" si="3"/>
        <v>68</v>
      </c>
      <c r="B80" s="18" t="s">
        <v>208</v>
      </c>
      <c r="C80" s="304">
        <v>2019</v>
      </c>
      <c r="D80" s="103" t="s">
        <v>205</v>
      </c>
      <c r="E80" s="97">
        <v>12665.953</v>
      </c>
      <c r="F80" s="104">
        <f>L80</f>
        <v>12496</v>
      </c>
      <c r="G80" s="99"/>
      <c r="H80" s="105"/>
      <c r="I80" s="105"/>
      <c r="J80" s="105"/>
      <c r="K80" s="98"/>
      <c r="L80" s="106">
        <v>12496</v>
      </c>
      <c r="M80" s="97" t="s">
        <v>209</v>
      </c>
      <c r="N80" s="99" t="s">
        <v>207</v>
      </c>
      <c r="O80" s="294"/>
      <c r="P80" s="57">
        <f t="shared" si="11"/>
        <v>0</v>
      </c>
      <c r="Q80" s="49">
        <f t="shared" si="10"/>
        <v>0</v>
      </c>
    </row>
    <row r="81" spans="1:17" ht="189">
      <c r="A81" s="58">
        <f t="shared" si="3"/>
        <v>69</v>
      </c>
      <c r="B81" s="18" t="s">
        <v>210</v>
      </c>
      <c r="C81" s="301">
        <v>2019</v>
      </c>
      <c r="D81" s="103" t="s">
        <v>211</v>
      </c>
      <c r="E81" s="104">
        <f t="shared" ref="E81" si="12">F81+G81+H81+I81+J81+K81</f>
        <v>7107</v>
      </c>
      <c r="F81" s="104">
        <f>G81+H81+I81+J81+K81+L81</f>
        <v>7107</v>
      </c>
      <c r="G81" s="99"/>
      <c r="H81" s="105"/>
      <c r="I81" s="105"/>
      <c r="J81" s="105"/>
      <c r="K81" s="98"/>
      <c r="L81" s="106">
        <v>7107</v>
      </c>
      <c r="M81" s="50" t="s">
        <v>212</v>
      </c>
      <c r="N81" s="111" t="s">
        <v>84</v>
      </c>
      <c r="O81" s="297"/>
      <c r="P81" s="57">
        <f t="shared" si="11"/>
        <v>0</v>
      </c>
      <c r="Q81" s="49">
        <f t="shared" si="10"/>
        <v>0</v>
      </c>
    </row>
    <row r="82" spans="1:17" ht="126">
      <c r="A82" s="58">
        <f t="shared" si="3"/>
        <v>70</v>
      </c>
      <c r="B82" s="18" t="s">
        <v>213</v>
      </c>
      <c r="C82" s="301">
        <v>2019</v>
      </c>
      <c r="D82" s="103" t="s">
        <v>214</v>
      </c>
      <c r="E82" s="104">
        <f>F82+G82+H82+I82+J82+L82</f>
        <v>1279.6220000000001</v>
      </c>
      <c r="F82" s="104">
        <f>G82+H82+I82+J82+L82</f>
        <v>639.81100000000004</v>
      </c>
      <c r="G82" s="99"/>
      <c r="H82" s="105"/>
      <c r="I82" s="105"/>
      <c r="J82" s="105"/>
      <c r="K82" s="25"/>
      <c r="L82" s="99">
        <v>639.81100000000004</v>
      </c>
      <c r="M82" s="107" t="s">
        <v>215</v>
      </c>
      <c r="N82" s="115" t="s">
        <v>225</v>
      </c>
      <c r="O82" s="297"/>
      <c r="P82" s="57" t="e">
        <f>G82+H82+I82+J82+L82+#REF!-F82</f>
        <v>#REF!</v>
      </c>
      <c r="Q82" s="49" t="e">
        <f>F82-G82-H82-I82-J82-L82-#REF!</f>
        <v>#REF!</v>
      </c>
    </row>
    <row r="83" spans="1:17" ht="94.5">
      <c r="A83" s="58">
        <f t="shared" si="3"/>
        <v>71</v>
      </c>
      <c r="B83" s="18" t="s">
        <v>216</v>
      </c>
      <c r="C83" s="301">
        <v>2019</v>
      </c>
      <c r="D83" s="103" t="s">
        <v>214</v>
      </c>
      <c r="E83" s="104">
        <f t="shared" ref="E83:E84" si="13">F83+G83+H83+I83+J83+L83</f>
        <v>11709.4</v>
      </c>
      <c r="F83" s="104">
        <f t="shared" ref="F83:F84" si="14">G83+H83+I83+J83+L83</f>
        <v>5854.7</v>
      </c>
      <c r="G83" s="99"/>
      <c r="H83" s="105"/>
      <c r="I83" s="105"/>
      <c r="J83" s="105"/>
      <c r="K83" s="25"/>
      <c r="L83" s="99">
        <v>5854.7</v>
      </c>
      <c r="M83" s="107" t="s">
        <v>217</v>
      </c>
      <c r="N83" s="115" t="s">
        <v>225</v>
      </c>
      <c r="O83" s="297"/>
      <c r="P83" s="57" t="e">
        <f>G83+H83+I83+J83+L83+#REF!-F83</f>
        <v>#REF!</v>
      </c>
      <c r="Q83" s="49" t="e">
        <f>F83-G83-H83-I83-J83-L83-#REF!</f>
        <v>#REF!</v>
      </c>
    </row>
    <row r="84" spans="1:17" ht="75">
      <c r="A84" s="58">
        <f t="shared" si="3"/>
        <v>72</v>
      </c>
      <c r="B84" s="18" t="s">
        <v>218</v>
      </c>
      <c r="C84" s="301">
        <v>2019</v>
      </c>
      <c r="D84" s="103" t="s">
        <v>219</v>
      </c>
      <c r="E84" s="104">
        <f t="shared" si="13"/>
        <v>14000</v>
      </c>
      <c r="F84" s="104">
        <f t="shared" si="14"/>
        <v>7000</v>
      </c>
      <c r="G84" s="99"/>
      <c r="H84" s="105"/>
      <c r="I84" s="105"/>
      <c r="J84" s="105"/>
      <c r="K84" s="25"/>
      <c r="L84" s="97">
        <v>7000</v>
      </c>
      <c r="M84" s="108" t="s">
        <v>220</v>
      </c>
      <c r="N84" s="115" t="s">
        <v>225</v>
      </c>
      <c r="O84" s="297"/>
      <c r="P84" s="57" t="e">
        <f>G84+H84+I84+J84+L84+#REF!-F84</f>
        <v>#REF!</v>
      </c>
      <c r="Q84" s="49" t="e">
        <f>F84-G84-H84-I84-J84-L84-#REF!</f>
        <v>#REF!</v>
      </c>
    </row>
    <row r="85" spans="1:17" ht="285">
      <c r="A85" s="58">
        <f t="shared" si="3"/>
        <v>73</v>
      </c>
      <c r="B85" s="66" t="s">
        <v>221</v>
      </c>
      <c r="C85" s="301">
        <v>2019</v>
      </c>
      <c r="D85" s="103" t="s">
        <v>222</v>
      </c>
      <c r="E85" s="115">
        <v>16817.014999999999</v>
      </c>
      <c r="F85" s="115">
        <f>E85</f>
        <v>16817.014999999999</v>
      </c>
      <c r="G85" s="115"/>
      <c r="H85" s="115"/>
      <c r="I85" s="115"/>
      <c r="J85" s="25"/>
      <c r="K85" s="25"/>
      <c r="L85" s="115">
        <f>F85</f>
        <v>16817.014999999999</v>
      </c>
      <c r="M85" s="111" t="s">
        <v>223</v>
      </c>
      <c r="N85" s="310" t="s">
        <v>60</v>
      </c>
      <c r="O85" s="297"/>
      <c r="P85" s="57">
        <f t="shared" si="11"/>
        <v>0</v>
      </c>
      <c r="Q85" s="49">
        <f t="shared" si="10"/>
        <v>0</v>
      </c>
    </row>
    <row r="86" spans="1:17" ht="276.75" customHeight="1">
      <c r="A86" s="305">
        <v>74</v>
      </c>
      <c r="B86" s="66" t="s">
        <v>227</v>
      </c>
      <c r="C86" s="301">
        <v>2019</v>
      </c>
      <c r="D86" s="309" t="s">
        <v>228</v>
      </c>
      <c r="E86" s="306"/>
      <c r="F86" s="316"/>
      <c r="G86" s="306"/>
      <c r="H86" s="306"/>
      <c r="I86" s="306"/>
      <c r="J86" s="25"/>
      <c r="K86" s="25"/>
      <c r="L86" s="306"/>
      <c r="M86" s="307" t="s">
        <v>229</v>
      </c>
      <c r="N86" s="308" t="s">
        <v>152</v>
      </c>
      <c r="O86" s="311" t="s">
        <v>230</v>
      </c>
      <c r="Q86" s="49" t="e">
        <f>SUM(Q11:Q85)</f>
        <v>#REF!</v>
      </c>
    </row>
    <row r="87" spans="1:17" ht="141.75">
      <c r="A87" s="315">
        <v>75</v>
      </c>
      <c r="B87" s="66" t="s">
        <v>232</v>
      </c>
      <c r="C87" s="301">
        <v>2019</v>
      </c>
      <c r="D87" s="309" t="s">
        <v>43</v>
      </c>
      <c r="E87" s="316"/>
      <c r="F87" s="353">
        <f>L87</f>
        <v>36500</v>
      </c>
      <c r="G87" s="353"/>
      <c r="H87" s="353"/>
      <c r="I87" s="353"/>
      <c r="J87" s="354"/>
      <c r="K87" s="354"/>
      <c r="L87" s="353">
        <v>36500</v>
      </c>
      <c r="M87" s="313" t="s">
        <v>233</v>
      </c>
      <c r="N87" s="314" t="s">
        <v>177</v>
      </c>
      <c r="O87" s="311"/>
    </row>
  </sheetData>
  <mergeCells count="36">
    <mergeCell ref="O5:O8"/>
    <mergeCell ref="D46:D50"/>
    <mergeCell ref="N46:N50"/>
    <mergeCell ref="D57:D58"/>
    <mergeCell ref="N57:N58"/>
    <mergeCell ref="N5:N8"/>
    <mergeCell ref="D5:D8"/>
    <mergeCell ref="D11:D13"/>
    <mergeCell ref="C14:C16"/>
    <mergeCell ref="O59:O61"/>
    <mergeCell ref="N11:N13"/>
    <mergeCell ref="O54:O58"/>
    <mergeCell ref="N68:N70"/>
    <mergeCell ref="N62:N63"/>
    <mergeCell ref="N59:N61"/>
    <mergeCell ref="D27:D32"/>
    <mergeCell ref="D59:D61"/>
    <mergeCell ref="D14:D16"/>
    <mergeCell ref="N14:N16"/>
    <mergeCell ref="N41:N44"/>
    <mergeCell ref="D41:D44"/>
    <mergeCell ref="N27:N32"/>
    <mergeCell ref="D17:D18"/>
    <mergeCell ref="D23:D26"/>
    <mergeCell ref="A3:M3"/>
    <mergeCell ref="A5:A8"/>
    <mergeCell ref="G7:I7"/>
    <mergeCell ref="J7:K7"/>
    <mergeCell ref="L7:L8"/>
    <mergeCell ref="M5:M8"/>
    <mergeCell ref="F5:L5"/>
    <mergeCell ref="G6:L6"/>
    <mergeCell ref="F6:F8"/>
    <mergeCell ref="E5:E8"/>
    <mergeCell ref="B5:B8"/>
    <mergeCell ref="C5:C8"/>
  </mergeCells>
  <pageMargins left="0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29"/>
  <sheetViews>
    <sheetView topLeftCell="A18" zoomScale="86" zoomScaleNormal="86" workbookViewId="0">
      <selection activeCell="B88" sqref="B88"/>
    </sheetView>
  </sheetViews>
  <sheetFormatPr defaultRowHeight="15.75"/>
  <cols>
    <col min="1" max="1" width="6.7109375" style="33" customWidth="1"/>
    <col min="2" max="2" width="27.85546875" style="64" customWidth="1"/>
    <col min="3" max="3" width="9.5703125" style="33" customWidth="1"/>
    <col min="4" max="4" width="11.42578125" style="33" customWidth="1"/>
    <col min="5" max="5" width="16.7109375" style="32" customWidth="1"/>
    <col min="6" max="7" width="15.42578125" style="32" customWidth="1"/>
    <col min="8" max="8" width="14.85546875" style="32" customWidth="1"/>
    <col min="9" max="9" width="12.85546875" style="32" customWidth="1"/>
    <col min="10" max="10" width="13.140625" style="42" customWidth="1"/>
    <col min="11" max="11" width="14" style="42" customWidth="1"/>
    <col min="12" max="12" width="15.5703125" style="32" customWidth="1"/>
    <col min="13" max="13" width="18.5703125" style="32" customWidth="1"/>
    <col min="14" max="14" width="21" style="32" customWidth="1"/>
    <col min="15" max="15" width="9.7109375" style="33" customWidth="1"/>
    <col min="16" max="16" width="10.7109375" style="33" bestFit="1" customWidth="1"/>
    <col min="17" max="17" width="21" style="33" customWidth="1"/>
    <col min="18" max="18" width="23.85546875" style="33" customWidth="1"/>
    <col min="19" max="19" width="19.5703125" style="33" customWidth="1"/>
    <col min="20" max="22" width="9.140625" style="33"/>
    <col min="23" max="23" width="10.7109375" style="33" bestFit="1" customWidth="1"/>
    <col min="24" max="16384" width="9.140625" style="33"/>
  </cols>
  <sheetData>
    <row r="1" spans="1:17">
      <c r="N1" s="32" t="s">
        <v>20</v>
      </c>
    </row>
    <row r="3" spans="1:17">
      <c r="A3" s="317" t="s">
        <v>13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O3" s="113"/>
    </row>
    <row r="4" spans="1:17">
      <c r="A4" s="113"/>
      <c r="B4" s="65"/>
      <c r="C4" s="113"/>
      <c r="D4" s="113"/>
      <c r="E4" s="39"/>
      <c r="F4" s="39"/>
      <c r="G4" s="39"/>
      <c r="H4" s="39"/>
      <c r="I4" s="39"/>
      <c r="J4" s="27"/>
      <c r="K4" s="27"/>
      <c r="L4" s="39"/>
      <c r="M4" s="39"/>
      <c r="O4" s="113"/>
    </row>
    <row r="5" spans="1:17" s="32" customFormat="1">
      <c r="A5" s="318" t="s">
        <v>0</v>
      </c>
      <c r="B5" s="331" t="s">
        <v>1</v>
      </c>
      <c r="C5" s="332" t="s">
        <v>12</v>
      </c>
      <c r="D5" s="332" t="s">
        <v>11</v>
      </c>
      <c r="E5" s="323" t="s">
        <v>3</v>
      </c>
      <c r="F5" s="328" t="s">
        <v>14</v>
      </c>
      <c r="G5" s="328"/>
      <c r="H5" s="328"/>
      <c r="I5" s="328"/>
      <c r="J5" s="328"/>
      <c r="K5" s="328"/>
      <c r="L5" s="328"/>
      <c r="M5" s="325" t="s">
        <v>10</v>
      </c>
      <c r="N5" s="325" t="s">
        <v>19</v>
      </c>
      <c r="O5" s="325" t="s">
        <v>15</v>
      </c>
    </row>
    <row r="6" spans="1:17" s="32" customFormat="1">
      <c r="A6" s="318"/>
      <c r="B6" s="331"/>
      <c r="C6" s="333"/>
      <c r="D6" s="333"/>
      <c r="E6" s="330"/>
      <c r="F6" s="329" t="s">
        <v>2</v>
      </c>
      <c r="G6" s="328" t="s">
        <v>4</v>
      </c>
      <c r="H6" s="328"/>
      <c r="I6" s="328"/>
      <c r="J6" s="328"/>
      <c r="K6" s="328"/>
      <c r="L6" s="328"/>
      <c r="M6" s="326"/>
      <c r="N6" s="326"/>
      <c r="O6" s="326"/>
    </row>
    <row r="7" spans="1:17" s="32" customFormat="1">
      <c r="A7" s="318"/>
      <c r="B7" s="331"/>
      <c r="C7" s="333"/>
      <c r="D7" s="333"/>
      <c r="E7" s="330"/>
      <c r="F7" s="329"/>
      <c r="G7" s="319" t="s">
        <v>5</v>
      </c>
      <c r="H7" s="320"/>
      <c r="I7" s="320"/>
      <c r="J7" s="321" t="s">
        <v>8</v>
      </c>
      <c r="K7" s="322"/>
      <c r="L7" s="323" t="s">
        <v>18</v>
      </c>
      <c r="M7" s="326"/>
      <c r="N7" s="326"/>
      <c r="O7" s="326"/>
    </row>
    <row r="8" spans="1:17" s="32" customFormat="1" ht="157.5">
      <c r="A8" s="318"/>
      <c r="B8" s="331"/>
      <c r="C8" s="334"/>
      <c r="D8" s="334"/>
      <c r="E8" s="324"/>
      <c r="F8" s="329"/>
      <c r="G8" s="111" t="s">
        <v>6</v>
      </c>
      <c r="H8" s="111" t="s">
        <v>17</v>
      </c>
      <c r="I8" s="111" t="s">
        <v>16</v>
      </c>
      <c r="J8" s="24" t="s">
        <v>7</v>
      </c>
      <c r="K8" s="24" t="s">
        <v>9</v>
      </c>
      <c r="L8" s="324"/>
      <c r="M8" s="327"/>
      <c r="N8" s="327"/>
      <c r="O8" s="327"/>
    </row>
    <row r="9" spans="1:17">
      <c r="A9" s="58">
        <v>1</v>
      </c>
      <c r="B9" s="66">
        <v>2</v>
      </c>
      <c r="C9" s="58">
        <v>3</v>
      </c>
      <c r="D9" s="58">
        <v>4</v>
      </c>
      <c r="E9" s="111">
        <v>5</v>
      </c>
      <c r="F9" s="111">
        <v>6</v>
      </c>
      <c r="G9" s="111">
        <v>7</v>
      </c>
      <c r="H9" s="111">
        <v>8</v>
      </c>
      <c r="I9" s="111">
        <v>9</v>
      </c>
      <c r="J9" s="24">
        <v>10</v>
      </c>
      <c r="K9" s="24">
        <v>11</v>
      </c>
      <c r="L9" s="111">
        <v>12</v>
      </c>
      <c r="M9" s="111">
        <v>13</v>
      </c>
      <c r="N9" s="111">
        <v>14</v>
      </c>
      <c r="O9" s="111">
        <v>15</v>
      </c>
    </row>
    <row r="10" spans="1:17">
      <c r="A10" s="58"/>
      <c r="B10" s="67" t="s">
        <v>2</v>
      </c>
      <c r="C10" s="58"/>
      <c r="D10" s="58"/>
      <c r="E10" s="115"/>
      <c r="F10" s="74">
        <f t="shared" ref="F10:L10" si="0">SUM(F12:F115)</f>
        <v>1858253.7069999999</v>
      </c>
      <c r="G10" s="74">
        <f t="shared" si="0"/>
        <v>280635.00299999997</v>
      </c>
      <c r="H10" s="74">
        <f t="shared" si="0"/>
        <v>10000</v>
      </c>
      <c r="I10" s="74">
        <f t="shared" si="0"/>
        <v>377516.93099999998</v>
      </c>
      <c r="J10" s="74">
        <f t="shared" si="0"/>
        <v>236078.75630000001</v>
      </c>
      <c r="K10" s="74">
        <f t="shared" si="0"/>
        <v>109069.44430000003</v>
      </c>
      <c r="L10" s="74">
        <f t="shared" si="0"/>
        <v>844953.57239999983</v>
      </c>
      <c r="M10" s="111"/>
      <c r="N10" s="111"/>
      <c r="O10" s="111"/>
      <c r="Q10" s="49">
        <f>F10-G10-H10-I10-J10-K10-L10</f>
        <v>0</v>
      </c>
    </row>
    <row r="11" spans="1:17">
      <c r="A11" s="58"/>
      <c r="B11" s="67"/>
      <c r="C11" s="58"/>
      <c r="D11" s="58"/>
      <c r="E11" s="115"/>
      <c r="F11" s="283">
        <f>SUM(F12:F51)</f>
        <v>301633.44500000001</v>
      </c>
      <c r="G11" s="283">
        <f t="shared" ref="G11:L11" si="1">SUM(G12:G51)</f>
        <v>25461.334999999999</v>
      </c>
      <c r="H11" s="283">
        <f t="shared" si="1"/>
        <v>0</v>
      </c>
      <c r="I11" s="283">
        <f t="shared" si="1"/>
        <v>70208.883000000002</v>
      </c>
      <c r="J11" s="283">
        <f t="shared" si="1"/>
        <v>71182.198300000004</v>
      </c>
      <c r="K11" s="283">
        <f t="shared" si="1"/>
        <v>25005.1397</v>
      </c>
      <c r="L11" s="283">
        <f t="shared" si="1"/>
        <v>109775.889</v>
      </c>
      <c r="M11" s="111"/>
      <c r="N11" s="111"/>
      <c r="O11" s="111"/>
      <c r="Q11" s="49"/>
    </row>
    <row r="12" spans="1:17" ht="94.5">
      <c r="A12" s="17">
        <v>1</v>
      </c>
      <c r="B12" s="18" t="s">
        <v>21</v>
      </c>
      <c r="C12" s="34">
        <v>2019</v>
      </c>
      <c r="D12" s="341" t="s">
        <v>42</v>
      </c>
      <c r="E12" s="1">
        <v>6555.5879999999997</v>
      </c>
      <c r="F12" s="44">
        <v>6419.0379999999996</v>
      </c>
      <c r="G12" s="44">
        <v>5777.134</v>
      </c>
      <c r="H12" s="37"/>
      <c r="I12" s="28"/>
      <c r="J12" s="29"/>
      <c r="K12" s="44">
        <v>641.904</v>
      </c>
      <c r="L12" s="28"/>
      <c r="M12" s="13" t="s">
        <v>29</v>
      </c>
      <c r="N12" s="337" t="s">
        <v>85</v>
      </c>
      <c r="O12" s="116" t="s">
        <v>155</v>
      </c>
      <c r="P12" s="57">
        <f>G12+H12+I12+J12+K12+L12-F12</f>
        <v>0</v>
      </c>
      <c r="Q12" s="49">
        <f t="shared" ref="Q12:Q105" si="2">F12-G12-H12-I12-J12-K12-L12</f>
        <v>-4.5474735088646412E-13</v>
      </c>
    </row>
    <row r="13" spans="1:17" ht="78.75">
      <c r="A13" s="8">
        <v>2</v>
      </c>
      <c r="B13" s="18" t="s">
        <v>22</v>
      </c>
      <c r="C13" s="34">
        <v>2019</v>
      </c>
      <c r="D13" s="341"/>
      <c r="E13" s="1">
        <v>6875.6</v>
      </c>
      <c r="F13" s="44">
        <f>G13+K13</f>
        <v>6720.8530000000001</v>
      </c>
      <c r="G13" s="44">
        <v>6048.768</v>
      </c>
      <c r="H13" s="37"/>
      <c r="I13" s="28"/>
      <c r="J13" s="29"/>
      <c r="K13" s="44">
        <v>672.08500000000004</v>
      </c>
      <c r="L13" s="28"/>
      <c r="M13" s="13" t="s">
        <v>30</v>
      </c>
      <c r="N13" s="337"/>
      <c r="O13" s="116" t="s">
        <v>155</v>
      </c>
      <c r="P13" s="57">
        <f t="shared" ref="P13:P105" si="3">G13+H13+I13+J13+K13+L13-F13</f>
        <v>0</v>
      </c>
      <c r="Q13" s="49">
        <f t="shared" si="2"/>
        <v>0</v>
      </c>
    </row>
    <row r="14" spans="1:17" ht="94.5">
      <c r="A14" s="17">
        <v>3</v>
      </c>
      <c r="B14" s="18" t="s">
        <v>23</v>
      </c>
      <c r="C14" s="34">
        <v>2019</v>
      </c>
      <c r="D14" s="341"/>
      <c r="E14" s="1">
        <v>10052.268</v>
      </c>
      <c r="F14" s="44">
        <f>G14+K14</f>
        <v>9896.7129999999997</v>
      </c>
      <c r="G14" s="44">
        <v>8907.0419999999995</v>
      </c>
      <c r="H14" s="37"/>
      <c r="I14" s="28"/>
      <c r="J14" s="29"/>
      <c r="K14" s="44">
        <v>989.67100000000005</v>
      </c>
      <c r="L14" s="28"/>
      <c r="M14" s="13" t="s">
        <v>31</v>
      </c>
      <c r="N14" s="337"/>
      <c r="O14" s="116" t="s">
        <v>155</v>
      </c>
      <c r="P14" s="57">
        <f t="shared" si="3"/>
        <v>0</v>
      </c>
      <c r="Q14" s="49">
        <f t="shared" si="2"/>
        <v>2.2737367544323206E-13</v>
      </c>
    </row>
    <row r="15" spans="1:17" ht="328.5">
      <c r="A15" s="17"/>
      <c r="B15" s="70" t="s">
        <v>137</v>
      </c>
      <c r="C15" s="46">
        <v>2018</v>
      </c>
      <c r="D15" s="110" t="s">
        <v>42</v>
      </c>
      <c r="E15" s="47">
        <v>6921.5829999999996</v>
      </c>
      <c r="F15" s="37">
        <f>G15+K15</f>
        <v>6754.8439999999991</v>
      </c>
      <c r="G15" s="48">
        <v>4728.3909999999996</v>
      </c>
      <c r="H15" s="115"/>
      <c r="I15" s="37"/>
      <c r="J15" s="38"/>
      <c r="K15" s="48">
        <v>2026.453</v>
      </c>
      <c r="L15" s="28"/>
      <c r="M15" s="46" t="s">
        <v>138</v>
      </c>
      <c r="N15" s="14" t="s">
        <v>139</v>
      </c>
      <c r="O15" s="116" t="s">
        <v>155</v>
      </c>
      <c r="P15" s="57"/>
      <c r="Q15" s="49"/>
    </row>
    <row r="16" spans="1:17" ht="63">
      <c r="A16" s="17"/>
      <c r="B16" s="71" t="s">
        <v>54</v>
      </c>
      <c r="C16" s="35">
        <v>2019</v>
      </c>
      <c r="D16" s="340" t="s">
        <v>150</v>
      </c>
      <c r="E16" s="15">
        <v>17569.844000000001</v>
      </c>
      <c r="F16" s="16">
        <v>17569.844000000001</v>
      </c>
      <c r="G16" s="28"/>
      <c r="H16" s="28"/>
      <c r="I16" s="28">
        <f t="shared" ref="I16:I21" si="4">F16</f>
        <v>17569.844000000001</v>
      </c>
      <c r="J16" s="29"/>
      <c r="K16" s="29"/>
      <c r="L16" s="28"/>
      <c r="M16" s="40" t="s">
        <v>103</v>
      </c>
      <c r="N16" s="329" t="s">
        <v>60</v>
      </c>
      <c r="O16" s="111" t="s">
        <v>159</v>
      </c>
      <c r="P16" s="57"/>
      <c r="Q16" s="49"/>
    </row>
    <row r="17" spans="1:17" ht="63">
      <c r="A17" s="17"/>
      <c r="B17" s="71" t="s">
        <v>156</v>
      </c>
      <c r="C17" s="114">
        <v>2019</v>
      </c>
      <c r="D17" s="340"/>
      <c r="E17" s="16">
        <v>10564.763999999999</v>
      </c>
      <c r="F17" s="16">
        <v>10564.763999999999</v>
      </c>
      <c r="G17" s="28"/>
      <c r="H17" s="28"/>
      <c r="I17" s="28">
        <f t="shared" si="4"/>
        <v>10564.763999999999</v>
      </c>
      <c r="J17" s="29"/>
      <c r="K17" s="29"/>
      <c r="L17" s="28"/>
      <c r="M17" s="40" t="s">
        <v>104</v>
      </c>
      <c r="N17" s="329"/>
      <c r="O17" s="111" t="s">
        <v>159</v>
      </c>
      <c r="P17" s="57"/>
      <c r="Q17" s="49"/>
    </row>
    <row r="18" spans="1:17" ht="63">
      <c r="A18" s="17"/>
      <c r="B18" s="71" t="s">
        <v>157</v>
      </c>
      <c r="C18" s="114">
        <v>2019</v>
      </c>
      <c r="D18" s="340"/>
      <c r="E18" s="16">
        <v>13691.221</v>
      </c>
      <c r="F18" s="16">
        <v>13691.221</v>
      </c>
      <c r="G18" s="28"/>
      <c r="H18" s="28"/>
      <c r="I18" s="28">
        <f t="shared" si="4"/>
        <v>13691.221</v>
      </c>
      <c r="J18" s="29"/>
      <c r="K18" s="29"/>
      <c r="L18" s="28"/>
      <c r="M18" s="40" t="s">
        <v>105</v>
      </c>
      <c r="N18" s="329"/>
      <c r="O18" s="111" t="s">
        <v>159</v>
      </c>
      <c r="P18" s="57"/>
      <c r="Q18" s="49"/>
    </row>
    <row r="19" spans="1:17" ht="63">
      <c r="A19" s="17"/>
      <c r="B19" s="71" t="s">
        <v>160</v>
      </c>
      <c r="C19" s="114">
        <v>2019</v>
      </c>
      <c r="D19" s="340"/>
      <c r="E19" s="16">
        <v>3971.9259999999999</v>
      </c>
      <c r="F19" s="16">
        <v>3971.9259999999999</v>
      </c>
      <c r="G19" s="28"/>
      <c r="H19" s="28"/>
      <c r="I19" s="28">
        <f t="shared" si="4"/>
        <v>3971.9259999999999</v>
      </c>
      <c r="J19" s="29"/>
      <c r="K19" s="29"/>
      <c r="L19" s="28"/>
      <c r="M19" s="40" t="s">
        <v>106</v>
      </c>
      <c r="N19" s="329"/>
      <c r="O19" s="111" t="s">
        <v>159</v>
      </c>
      <c r="P19" s="57"/>
      <c r="Q19" s="49"/>
    </row>
    <row r="20" spans="1:17" ht="63">
      <c r="A20" s="17"/>
      <c r="B20" s="71" t="s">
        <v>161</v>
      </c>
      <c r="C20" s="114">
        <v>2019</v>
      </c>
      <c r="D20" s="340"/>
      <c r="E20" s="16">
        <v>13872.511</v>
      </c>
      <c r="F20" s="16">
        <v>13872.511</v>
      </c>
      <c r="G20" s="28"/>
      <c r="H20" s="28"/>
      <c r="I20" s="28">
        <f t="shared" si="4"/>
        <v>13872.511</v>
      </c>
      <c r="J20" s="29"/>
      <c r="K20" s="29"/>
      <c r="L20" s="28"/>
      <c r="M20" s="40" t="s">
        <v>107</v>
      </c>
      <c r="N20" s="329"/>
      <c r="O20" s="111" t="s">
        <v>159</v>
      </c>
      <c r="P20" s="57"/>
      <c r="Q20" s="49"/>
    </row>
    <row r="21" spans="1:17" ht="63">
      <c r="A21" s="17"/>
      <c r="B21" s="71" t="s">
        <v>158</v>
      </c>
      <c r="C21" s="114">
        <v>2019</v>
      </c>
      <c r="D21" s="340"/>
      <c r="E21" s="16">
        <v>10538.617</v>
      </c>
      <c r="F21" s="16">
        <v>10538.617</v>
      </c>
      <c r="G21" s="28"/>
      <c r="H21" s="28"/>
      <c r="I21" s="28">
        <f t="shared" si="4"/>
        <v>10538.617</v>
      </c>
      <c r="J21" s="29"/>
      <c r="K21" s="29"/>
      <c r="L21" s="28"/>
      <c r="M21" s="40" t="s">
        <v>108</v>
      </c>
      <c r="N21" s="329"/>
      <c r="O21" s="111" t="s">
        <v>159</v>
      </c>
      <c r="P21" s="57"/>
      <c r="Q21" s="49"/>
    </row>
    <row r="22" spans="1:17">
      <c r="A22" s="17"/>
      <c r="B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P22" s="57"/>
      <c r="Q22" s="49"/>
    </row>
    <row r="23" spans="1:17" ht="189">
      <c r="A23" s="17"/>
      <c r="B23" s="22" t="s">
        <v>61</v>
      </c>
      <c r="C23" s="114" t="s">
        <v>27</v>
      </c>
      <c r="D23" s="110" t="s">
        <v>62</v>
      </c>
      <c r="E23" s="30">
        <v>19685.003000000001</v>
      </c>
      <c r="F23" s="37">
        <f>J23+K23</f>
        <v>4920.9979999999987</v>
      </c>
      <c r="G23" s="28"/>
      <c r="H23" s="37"/>
      <c r="I23" s="37"/>
      <c r="J23" s="38">
        <f>17716.5-7531.95-5321.43</f>
        <v>4863.119999999999</v>
      </c>
      <c r="K23" s="38">
        <f>1968.503-1910.625</f>
        <v>57.877999999999929</v>
      </c>
      <c r="L23" s="37"/>
      <c r="M23" s="111" t="s">
        <v>110</v>
      </c>
      <c r="N23" s="111" t="s">
        <v>84</v>
      </c>
      <c r="O23" s="112" t="s">
        <v>162</v>
      </c>
      <c r="P23" s="57"/>
      <c r="Q23" s="49"/>
    </row>
    <row r="24" spans="1:17" ht="189">
      <c r="A24" s="17"/>
      <c r="B24" s="22" t="s">
        <v>63</v>
      </c>
      <c r="C24" s="114" t="s">
        <v>39</v>
      </c>
      <c r="D24" s="110" t="s">
        <v>62</v>
      </c>
      <c r="E24" s="115">
        <v>10005.731</v>
      </c>
      <c r="F24" s="37">
        <f>J24+K24</f>
        <v>5139.491</v>
      </c>
      <c r="G24" s="28"/>
      <c r="H24" s="37"/>
      <c r="I24" s="37"/>
      <c r="J24" s="38">
        <f>E24*0.9-3955.24</f>
        <v>5049.9179000000004</v>
      </c>
      <c r="K24" s="38">
        <f>E24*0.1-911</f>
        <v>89.573100000000068</v>
      </c>
      <c r="L24" s="37"/>
      <c r="M24" s="111" t="s">
        <v>111</v>
      </c>
      <c r="N24" s="111" t="s">
        <v>84</v>
      </c>
      <c r="O24" s="112" t="s">
        <v>162</v>
      </c>
      <c r="P24" s="57"/>
      <c r="Q24" s="49"/>
    </row>
    <row r="25" spans="1:17" ht="189">
      <c r="A25" s="17"/>
      <c r="B25" s="22" t="s">
        <v>64</v>
      </c>
      <c r="C25" s="114">
        <v>2019</v>
      </c>
      <c r="D25" s="110" t="s">
        <v>62</v>
      </c>
      <c r="E25" s="115">
        <v>2422.4119999999998</v>
      </c>
      <c r="F25" s="37">
        <v>1318.9059999999999</v>
      </c>
      <c r="G25" s="28"/>
      <c r="H25" s="37"/>
      <c r="I25" s="37"/>
      <c r="J25" s="38"/>
      <c r="K25" s="38"/>
      <c r="L25" s="38">
        <f>F25</f>
        <v>1318.9059999999999</v>
      </c>
      <c r="M25" s="111" t="s">
        <v>112</v>
      </c>
      <c r="N25" s="111" t="s">
        <v>81</v>
      </c>
      <c r="O25" s="112" t="s">
        <v>162</v>
      </c>
      <c r="P25" s="57"/>
      <c r="Q25" s="49"/>
    </row>
    <row r="26" spans="1:17" ht="236.25">
      <c r="A26" s="17"/>
      <c r="B26" s="73" t="s">
        <v>65</v>
      </c>
      <c r="C26" s="114" t="s">
        <v>39</v>
      </c>
      <c r="D26" s="110" t="s">
        <v>89</v>
      </c>
      <c r="E26" s="115">
        <v>6864.6790000000001</v>
      </c>
      <c r="F26" s="37">
        <f t="shared" ref="F26:F37" si="5">J26+K26</f>
        <v>5043.5540000000001</v>
      </c>
      <c r="G26" s="28"/>
      <c r="H26" s="37"/>
      <c r="I26" s="37"/>
      <c r="J26" s="38">
        <f>E26*0.9-1528.523</f>
        <v>4649.6881000000003</v>
      </c>
      <c r="K26" s="38">
        <f>E26*0.1-292.602</f>
        <v>393.86590000000012</v>
      </c>
      <c r="L26" s="37"/>
      <c r="M26" s="111" t="s">
        <v>114</v>
      </c>
      <c r="N26" s="111" t="s">
        <v>81</v>
      </c>
      <c r="O26" s="112" t="s">
        <v>162</v>
      </c>
      <c r="P26" s="57"/>
      <c r="Q26" s="49"/>
    </row>
    <row r="27" spans="1:17" ht="235.5">
      <c r="A27" s="17"/>
      <c r="B27" s="73" t="s">
        <v>66</v>
      </c>
      <c r="C27" s="114" t="s">
        <v>39</v>
      </c>
      <c r="D27" s="110" t="s">
        <v>89</v>
      </c>
      <c r="E27" s="115">
        <v>10845.843000000001</v>
      </c>
      <c r="F27" s="37">
        <f t="shared" si="5"/>
        <v>8873.2720000000008</v>
      </c>
      <c r="G27" s="28"/>
      <c r="H27" s="37"/>
      <c r="I27" s="37"/>
      <c r="J27" s="38">
        <f>E27*0.9-1631.072</f>
        <v>8130.1867000000002</v>
      </c>
      <c r="K27" s="38">
        <f>E27*0.1-341.499</f>
        <v>743.08530000000019</v>
      </c>
      <c r="L27" s="37"/>
      <c r="M27" s="14" t="s">
        <v>115</v>
      </c>
      <c r="N27" s="111" t="s">
        <v>81</v>
      </c>
      <c r="O27" s="112" t="s">
        <v>162</v>
      </c>
      <c r="P27" s="57"/>
      <c r="Q27" s="49"/>
    </row>
    <row r="28" spans="1:17" ht="235.5">
      <c r="A28" s="17"/>
      <c r="B28" s="73" t="s">
        <v>67</v>
      </c>
      <c r="C28" s="114" t="s">
        <v>39</v>
      </c>
      <c r="D28" s="110" t="s">
        <v>89</v>
      </c>
      <c r="E28" s="115">
        <v>5134.8720000000003</v>
      </c>
      <c r="F28" s="37">
        <f t="shared" si="5"/>
        <v>3795.4300000000007</v>
      </c>
      <c r="G28" s="28"/>
      <c r="H28" s="37"/>
      <c r="I28" s="37"/>
      <c r="J28" s="38">
        <f>E28*0.9-1129.346</f>
        <v>3492.0388000000007</v>
      </c>
      <c r="K28" s="38">
        <f>E28*0.1-210.096</f>
        <v>303.39120000000003</v>
      </c>
      <c r="L28" s="37"/>
      <c r="M28" s="111" t="s">
        <v>116</v>
      </c>
      <c r="N28" s="111" t="s">
        <v>81</v>
      </c>
      <c r="O28" s="112" t="s">
        <v>162</v>
      </c>
      <c r="P28" s="57"/>
      <c r="Q28" s="49"/>
    </row>
    <row r="29" spans="1:17" ht="220.5">
      <c r="A29" s="17"/>
      <c r="B29" s="73" t="s">
        <v>68</v>
      </c>
      <c r="C29" s="114" t="s">
        <v>39</v>
      </c>
      <c r="D29" s="341" t="s">
        <v>89</v>
      </c>
      <c r="E29" s="115">
        <v>5207.9210000000003</v>
      </c>
      <c r="F29" s="37">
        <f t="shared" si="5"/>
        <v>3823.2290000000007</v>
      </c>
      <c r="G29" s="28"/>
      <c r="H29" s="37"/>
      <c r="I29" s="37"/>
      <c r="J29" s="38">
        <f>E29*0.9-1107</f>
        <v>3580.1289000000006</v>
      </c>
      <c r="K29" s="38">
        <f>E29*0.1-277.692</f>
        <v>243.1001</v>
      </c>
      <c r="L29" s="37"/>
      <c r="M29" s="111" t="s">
        <v>117</v>
      </c>
      <c r="N29" s="329" t="s">
        <v>81</v>
      </c>
      <c r="O29" s="112" t="s">
        <v>162</v>
      </c>
      <c r="P29" s="57"/>
      <c r="Q29" s="49"/>
    </row>
    <row r="30" spans="1:17" ht="110.25">
      <c r="A30" s="17"/>
      <c r="B30" s="73" t="s">
        <v>70</v>
      </c>
      <c r="C30" s="114" t="s">
        <v>39</v>
      </c>
      <c r="D30" s="341"/>
      <c r="E30" s="115">
        <v>8741.3169999999991</v>
      </c>
      <c r="F30" s="37">
        <f t="shared" si="5"/>
        <v>7998.0069999999987</v>
      </c>
      <c r="G30" s="28"/>
      <c r="H30" s="37"/>
      <c r="I30" s="37"/>
      <c r="J30" s="38">
        <f>E30*0.9-668.979</f>
        <v>7198.2062999999989</v>
      </c>
      <c r="K30" s="38">
        <f>E30*0.1-74.331</f>
        <v>799.80069999999989</v>
      </c>
      <c r="L30" s="37"/>
      <c r="M30" s="111" t="s">
        <v>118</v>
      </c>
      <c r="N30" s="329"/>
      <c r="O30" s="112" t="s">
        <v>162</v>
      </c>
      <c r="P30" s="57"/>
      <c r="Q30" s="49"/>
    </row>
    <row r="31" spans="1:17" ht="110.25">
      <c r="A31" s="17"/>
      <c r="B31" s="73" t="s">
        <v>71</v>
      </c>
      <c r="C31" s="114" t="s">
        <v>39</v>
      </c>
      <c r="D31" s="341"/>
      <c r="E31" s="115">
        <v>9000.8160000000007</v>
      </c>
      <c r="F31" s="37">
        <f t="shared" si="5"/>
        <v>8097.8160000000016</v>
      </c>
      <c r="G31" s="28"/>
      <c r="H31" s="37"/>
      <c r="I31" s="37"/>
      <c r="J31" s="38">
        <f>E31*0.9-812.7</f>
        <v>7288.0344000000014</v>
      </c>
      <c r="K31" s="38">
        <f>E31*0.1-90.3</f>
        <v>809.78160000000014</v>
      </c>
      <c r="L31" s="37"/>
      <c r="M31" s="14" t="s">
        <v>120</v>
      </c>
      <c r="N31" s="329"/>
      <c r="O31" s="112" t="s">
        <v>162</v>
      </c>
      <c r="P31" s="57"/>
      <c r="Q31" s="49"/>
    </row>
    <row r="32" spans="1:17" ht="110.25">
      <c r="A32" s="17"/>
      <c r="B32" s="73" t="s">
        <v>72</v>
      </c>
      <c r="C32" s="114" t="s">
        <v>39</v>
      </c>
      <c r="D32" s="341"/>
      <c r="E32" s="115">
        <v>9314.0480000000007</v>
      </c>
      <c r="F32" s="37">
        <f t="shared" si="5"/>
        <v>8609.0780000000013</v>
      </c>
      <c r="G32" s="28"/>
      <c r="H32" s="37"/>
      <c r="I32" s="37"/>
      <c r="J32" s="38">
        <f>E32*0.9-634.473</f>
        <v>7748.1702000000005</v>
      </c>
      <c r="K32" s="38">
        <f>E32*0.1-70.497</f>
        <v>860.90780000000018</v>
      </c>
      <c r="L32" s="37"/>
      <c r="M32" s="14" t="s">
        <v>119</v>
      </c>
      <c r="N32" s="329"/>
      <c r="O32" s="112" t="s">
        <v>162</v>
      </c>
      <c r="P32" s="57"/>
      <c r="Q32" s="49"/>
    </row>
    <row r="33" spans="1:17" ht="106.5">
      <c r="A33" s="17"/>
      <c r="B33" s="23" t="s">
        <v>73</v>
      </c>
      <c r="C33" s="58" t="s">
        <v>39</v>
      </c>
      <c r="D33" s="341" t="s">
        <v>90</v>
      </c>
      <c r="E33" s="115">
        <v>12986.887000000001</v>
      </c>
      <c r="F33" s="37">
        <f t="shared" si="5"/>
        <v>9439.6790000000001</v>
      </c>
      <c r="G33" s="28"/>
      <c r="H33" s="37"/>
      <c r="I33" s="37"/>
      <c r="J33" s="38">
        <f>11688.198-2100-1447.208</f>
        <v>8140.99</v>
      </c>
      <c r="K33" s="38">
        <v>1298.6890000000001</v>
      </c>
      <c r="L33" s="37"/>
      <c r="M33" s="111" t="s">
        <v>122</v>
      </c>
      <c r="N33" s="342" t="s">
        <v>82</v>
      </c>
      <c r="O33" s="112" t="s">
        <v>162</v>
      </c>
      <c r="P33" s="57"/>
      <c r="Q33" s="49"/>
    </row>
    <row r="34" spans="1:17" ht="106.5">
      <c r="A34" s="17"/>
      <c r="B34" s="73" t="s">
        <v>74</v>
      </c>
      <c r="C34" s="58" t="s">
        <v>39</v>
      </c>
      <c r="D34" s="341"/>
      <c r="E34" s="115">
        <v>5723.4620000000004</v>
      </c>
      <c r="F34" s="37">
        <f t="shared" si="5"/>
        <v>4830.9619999999995</v>
      </c>
      <c r="G34" s="28"/>
      <c r="H34" s="37"/>
      <c r="I34" s="37"/>
      <c r="J34" s="38">
        <f>5151.116-892.5</f>
        <v>4258.616</v>
      </c>
      <c r="K34" s="38">
        <v>572.346</v>
      </c>
      <c r="L34" s="37"/>
      <c r="M34" s="111" t="s">
        <v>123</v>
      </c>
      <c r="N34" s="342"/>
      <c r="O34" s="112" t="s">
        <v>162</v>
      </c>
      <c r="P34" s="57"/>
      <c r="Q34" s="49"/>
    </row>
    <row r="35" spans="1:17" ht="106.5">
      <c r="A35" s="17"/>
      <c r="B35" s="73" t="s">
        <v>75</v>
      </c>
      <c r="C35" s="58" t="s">
        <v>39</v>
      </c>
      <c r="D35" s="341"/>
      <c r="E35" s="115">
        <v>3268.2779999999998</v>
      </c>
      <c r="F35" s="37">
        <f t="shared" si="5"/>
        <v>3268.2779999999998</v>
      </c>
      <c r="G35" s="28"/>
      <c r="H35" s="37"/>
      <c r="I35" s="37"/>
      <c r="J35" s="38">
        <f>2941.45</f>
        <v>2941.45</v>
      </c>
      <c r="K35" s="38">
        <v>326.82799999999997</v>
      </c>
      <c r="L35" s="37"/>
      <c r="M35" s="115" t="s">
        <v>124</v>
      </c>
      <c r="N35" s="342"/>
      <c r="O35" s="112" t="s">
        <v>162</v>
      </c>
      <c r="P35" s="57"/>
      <c r="Q35" s="49"/>
    </row>
    <row r="36" spans="1:17" ht="106.5">
      <c r="A36" s="17"/>
      <c r="B36" s="73" t="s">
        <v>76</v>
      </c>
      <c r="C36" s="58" t="s">
        <v>39</v>
      </c>
      <c r="D36" s="341"/>
      <c r="E36" s="115">
        <v>6324.9939999999997</v>
      </c>
      <c r="F36" s="37">
        <f t="shared" si="5"/>
        <v>4035.2450000000003</v>
      </c>
      <c r="G36" s="28"/>
      <c r="H36" s="37"/>
      <c r="I36" s="37"/>
      <c r="J36" s="38">
        <f>5692.5-2289.749</f>
        <v>3402.7510000000002</v>
      </c>
      <c r="K36" s="38">
        <f>632.494</f>
        <v>632.49400000000003</v>
      </c>
      <c r="L36" s="37"/>
      <c r="M36" s="115" t="s">
        <v>126</v>
      </c>
      <c r="N36" s="342"/>
      <c r="O36" s="112" t="s">
        <v>162</v>
      </c>
      <c r="P36" s="57"/>
      <c r="Q36" s="49"/>
    </row>
    <row r="37" spans="1:17" ht="106.5">
      <c r="A37" s="17"/>
      <c r="B37" s="73" t="s">
        <v>77</v>
      </c>
      <c r="C37" s="58" t="s">
        <v>27</v>
      </c>
      <c r="D37" s="341"/>
      <c r="E37" s="115">
        <v>487.67500000000001</v>
      </c>
      <c r="F37" s="37">
        <f t="shared" si="5"/>
        <v>487.67499999999995</v>
      </c>
      <c r="G37" s="28"/>
      <c r="H37" s="37"/>
      <c r="I37" s="37"/>
      <c r="J37" s="38">
        <f>438.9</f>
        <v>438.9</v>
      </c>
      <c r="K37" s="38">
        <f>48.775</f>
        <v>48.774999999999999</v>
      </c>
      <c r="L37" s="37"/>
      <c r="M37" s="115" t="s">
        <v>125</v>
      </c>
      <c r="N37" s="342"/>
      <c r="O37" s="112" t="s">
        <v>162</v>
      </c>
      <c r="P37" s="57"/>
      <c r="Q37" s="49"/>
    </row>
    <row r="38" spans="1:17" ht="77.25" customHeight="1">
      <c r="A38" s="17"/>
      <c r="B38" s="66" t="s">
        <v>94</v>
      </c>
      <c r="C38" s="58">
        <v>2019</v>
      </c>
      <c r="D38" s="341" t="s">
        <v>42</v>
      </c>
      <c r="E38" s="111">
        <v>24731.3</v>
      </c>
      <c r="F38" s="37">
        <f>E38</f>
        <v>24731.3</v>
      </c>
      <c r="G38" s="37"/>
      <c r="H38" s="37"/>
      <c r="I38" s="37"/>
      <c r="J38" s="38"/>
      <c r="K38" s="38"/>
      <c r="L38" s="37">
        <f>F38</f>
        <v>24731.3</v>
      </c>
      <c r="M38" s="111" t="s">
        <v>131</v>
      </c>
      <c r="N38" s="329" t="s">
        <v>82</v>
      </c>
      <c r="O38" s="112"/>
      <c r="P38" s="57"/>
      <c r="Q38" s="49"/>
    </row>
    <row r="39" spans="1:17" ht="47.25">
      <c r="A39" s="17"/>
      <c r="B39" s="66" t="s">
        <v>95</v>
      </c>
      <c r="C39" s="58">
        <v>2019</v>
      </c>
      <c r="D39" s="341"/>
      <c r="E39" s="111">
        <v>5737.4880000000003</v>
      </c>
      <c r="F39" s="37">
        <f>E39</f>
        <v>5737.4880000000003</v>
      </c>
      <c r="G39" s="37"/>
      <c r="H39" s="37"/>
      <c r="I39" s="37"/>
      <c r="J39" s="38"/>
      <c r="K39" s="38"/>
      <c r="L39" s="37">
        <f>F39</f>
        <v>5737.4880000000003</v>
      </c>
      <c r="M39" s="115" t="s">
        <v>130</v>
      </c>
      <c r="N39" s="329"/>
      <c r="O39" s="116"/>
      <c r="P39" s="57"/>
      <c r="Q39" s="49"/>
    </row>
    <row r="40" spans="1:17" ht="94.5">
      <c r="A40" s="17"/>
      <c r="B40" s="18" t="s">
        <v>192</v>
      </c>
      <c r="C40" s="97">
        <v>2019</v>
      </c>
      <c r="D40" s="50" t="s">
        <v>193</v>
      </c>
      <c r="E40" s="97">
        <v>3485.48</v>
      </c>
      <c r="F40" s="98">
        <f t="shared" ref="F40" si="6">G40+H40+I40+J40+K40+L40</f>
        <v>3485.48</v>
      </c>
      <c r="G40" s="97"/>
      <c r="H40" s="97"/>
      <c r="I40" s="97"/>
      <c r="J40" s="97"/>
      <c r="K40" s="98"/>
      <c r="L40" s="98">
        <v>3485.48</v>
      </c>
      <c r="M40" s="97" t="s">
        <v>194</v>
      </c>
      <c r="N40" s="99" t="s">
        <v>195</v>
      </c>
      <c r="O40" s="116"/>
      <c r="P40" s="57"/>
      <c r="Q40" s="49"/>
    </row>
    <row r="41" spans="1:17" ht="90">
      <c r="A41" s="17"/>
      <c r="B41" s="18" t="s">
        <v>196</v>
      </c>
      <c r="C41" s="50">
        <v>2019</v>
      </c>
      <c r="D41" s="50" t="s">
        <v>193</v>
      </c>
      <c r="E41" s="101">
        <v>1060</v>
      </c>
      <c r="F41" s="102">
        <f t="shared" ref="F41:F44" si="7">SUM(G41:L41)</f>
        <v>1060</v>
      </c>
      <c r="G41" s="102"/>
      <c r="H41" s="102"/>
      <c r="I41" s="102"/>
      <c r="J41" s="101"/>
      <c r="K41" s="101"/>
      <c r="L41" s="101">
        <v>1060</v>
      </c>
      <c r="M41" s="97" t="s">
        <v>197</v>
      </c>
      <c r="N41" s="99" t="s">
        <v>195</v>
      </c>
      <c r="O41" s="116"/>
      <c r="P41" s="57"/>
      <c r="Q41" s="49"/>
    </row>
    <row r="42" spans="1:17" ht="94.5">
      <c r="A42" s="17"/>
      <c r="B42" s="18" t="s">
        <v>198</v>
      </c>
      <c r="C42" s="50">
        <v>2019</v>
      </c>
      <c r="D42" s="50" t="s">
        <v>193</v>
      </c>
      <c r="E42" s="101">
        <v>8134</v>
      </c>
      <c r="F42" s="102">
        <f t="shared" si="7"/>
        <v>8134</v>
      </c>
      <c r="G42" s="102"/>
      <c r="H42" s="102"/>
      <c r="I42" s="102"/>
      <c r="J42" s="101"/>
      <c r="K42" s="101"/>
      <c r="L42" s="101">
        <v>8134</v>
      </c>
      <c r="M42" s="97" t="s">
        <v>199</v>
      </c>
      <c r="N42" s="99" t="s">
        <v>195</v>
      </c>
      <c r="O42" s="116"/>
      <c r="P42" s="57"/>
      <c r="Q42" s="49"/>
    </row>
    <row r="43" spans="1:17" ht="90">
      <c r="A43" s="17"/>
      <c r="B43" s="18" t="s">
        <v>200</v>
      </c>
      <c r="C43" s="50">
        <v>2019</v>
      </c>
      <c r="D43" s="50" t="s">
        <v>193</v>
      </c>
      <c r="E43" s="101">
        <v>640</v>
      </c>
      <c r="F43" s="102">
        <f t="shared" si="7"/>
        <v>640</v>
      </c>
      <c r="G43" s="102"/>
      <c r="H43" s="102"/>
      <c r="I43" s="102"/>
      <c r="J43" s="101"/>
      <c r="K43" s="101"/>
      <c r="L43" s="101">
        <v>640</v>
      </c>
      <c r="M43" s="97" t="s">
        <v>201</v>
      </c>
      <c r="N43" s="99" t="s">
        <v>195</v>
      </c>
      <c r="O43" s="116"/>
      <c r="P43" s="57"/>
      <c r="Q43" s="49"/>
    </row>
    <row r="44" spans="1:17" ht="90">
      <c r="A44" s="17"/>
      <c r="B44" s="18" t="s">
        <v>202</v>
      </c>
      <c r="C44" s="50">
        <v>2019</v>
      </c>
      <c r="D44" s="50" t="s">
        <v>193</v>
      </c>
      <c r="E44" s="101">
        <v>12000</v>
      </c>
      <c r="F44" s="102">
        <f t="shared" si="7"/>
        <v>12000</v>
      </c>
      <c r="G44" s="102"/>
      <c r="H44" s="102"/>
      <c r="I44" s="102"/>
      <c r="J44" s="101"/>
      <c r="K44" s="101"/>
      <c r="L44" s="101">
        <v>12000</v>
      </c>
      <c r="M44" s="97" t="s">
        <v>203</v>
      </c>
      <c r="N44" s="99" t="s">
        <v>195</v>
      </c>
      <c r="O44" s="116"/>
      <c r="P44" s="57"/>
      <c r="Q44" s="49"/>
    </row>
    <row r="45" spans="1:17" ht="105">
      <c r="A45" s="17"/>
      <c r="B45" s="18" t="s">
        <v>204</v>
      </c>
      <c r="C45" s="99">
        <v>2019</v>
      </c>
      <c r="D45" s="103" t="s">
        <v>205</v>
      </c>
      <c r="E45" s="97">
        <v>16418.699000000001</v>
      </c>
      <c r="F45" s="104">
        <f>L45</f>
        <v>16248.7</v>
      </c>
      <c r="G45" s="99"/>
      <c r="H45" s="105"/>
      <c r="I45" s="105"/>
      <c r="J45" s="105"/>
      <c r="K45" s="98"/>
      <c r="L45" s="106">
        <v>16248.7</v>
      </c>
      <c r="M45" s="97" t="s">
        <v>206</v>
      </c>
      <c r="N45" s="99" t="s">
        <v>207</v>
      </c>
      <c r="O45" s="116"/>
      <c r="P45" s="57"/>
      <c r="Q45" s="49"/>
    </row>
    <row r="46" spans="1:17" ht="105">
      <c r="A46" s="17"/>
      <c r="B46" s="18" t="s">
        <v>208</v>
      </c>
      <c r="C46" s="99">
        <v>2019</v>
      </c>
      <c r="D46" s="103" t="s">
        <v>205</v>
      </c>
      <c r="E46" s="97">
        <v>12665.953</v>
      </c>
      <c r="F46" s="104">
        <f>L46</f>
        <v>12496</v>
      </c>
      <c r="G46" s="99"/>
      <c r="H46" s="105"/>
      <c r="I46" s="105"/>
      <c r="J46" s="105"/>
      <c r="K46" s="98"/>
      <c r="L46" s="106">
        <v>12496</v>
      </c>
      <c r="M46" s="97" t="s">
        <v>209</v>
      </c>
      <c r="N46" s="99" t="s">
        <v>207</v>
      </c>
      <c r="O46" s="116"/>
      <c r="P46" s="57"/>
      <c r="Q46" s="49"/>
    </row>
    <row r="47" spans="1:17" ht="189">
      <c r="A47" s="17"/>
      <c r="B47" s="18" t="s">
        <v>210</v>
      </c>
      <c r="C47" s="103">
        <v>2019</v>
      </c>
      <c r="D47" s="103" t="s">
        <v>211</v>
      </c>
      <c r="E47" s="104">
        <f t="shared" ref="E47:F50" si="8">F47+G47+H47+I47+J47+K47</f>
        <v>7107</v>
      </c>
      <c r="F47" s="104">
        <f t="shared" si="8"/>
        <v>7107</v>
      </c>
      <c r="G47" s="99"/>
      <c r="H47" s="105"/>
      <c r="I47" s="105"/>
      <c r="J47" s="105"/>
      <c r="K47" s="98"/>
      <c r="L47" s="106">
        <v>7107</v>
      </c>
      <c r="M47" s="50" t="s">
        <v>212</v>
      </c>
      <c r="N47" s="111" t="s">
        <v>84</v>
      </c>
      <c r="O47" s="116"/>
      <c r="P47" s="57"/>
      <c r="Q47" s="49"/>
    </row>
    <row r="48" spans="1:17" ht="126">
      <c r="A48" s="17"/>
      <c r="B48" s="18" t="s">
        <v>213</v>
      </c>
      <c r="C48" s="103">
        <v>2019</v>
      </c>
      <c r="D48" s="103" t="s">
        <v>214</v>
      </c>
      <c r="E48" s="104">
        <f t="shared" si="8"/>
        <v>1279.6220000000001</v>
      </c>
      <c r="F48" s="104">
        <f t="shared" si="8"/>
        <v>639.81100000000004</v>
      </c>
      <c r="G48" s="99"/>
      <c r="H48" s="105"/>
      <c r="I48" s="105"/>
      <c r="J48" s="105"/>
      <c r="K48" s="99">
        <v>639.81100000000004</v>
      </c>
      <c r="L48" s="105"/>
      <c r="M48" s="107" t="s">
        <v>215</v>
      </c>
      <c r="N48" s="115" t="s">
        <v>225</v>
      </c>
      <c r="O48" s="116"/>
      <c r="P48" s="57"/>
      <c r="Q48" s="49"/>
    </row>
    <row r="49" spans="1:24" ht="94.5">
      <c r="A49" s="17"/>
      <c r="B49" s="18" t="s">
        <v>216</v>
      </c>
      <c r="C49" s="103">
        <v>2019</v>
      </c>
      <c r="D49" s="103" t="s">
        <v>214</v>
      </c>
      <c r="E49" s="104">
        <f t="shared" si="8"/>
        <v>11709.4</v>
      </c>
      <c r="F49" s="104">
        <f t="shared" si="8"/>
        <v>5854.7</v>
      </c>
      <c r="G49" s="99"/>
      <c r="H49" s="105"/>
      <c r="I49" s="105"/>
      <c r="J49" s="105"/>
      <c r="K49" s="99">
        <v>5854.7</v>
      </c>
      <c r="L49" s="105"/>
      <c r="M49" s="107" t="s">
        <v>217</v>
      </c>
      <c r="N49" s="115" t="s">
        <v>225</v>
      </c>
      <c r="O49" s="116"/>
      <c r="P49" s="57"/>
      <c r="Q49" s="49"/>
    </row>
    <row r="50" spans="1:24" ht="75">
      <c r="A50" s="17"/>
      <c r="B50" s="18" t="s">
        <v>218</v>
      </c>
      <c r="C50" s="103">
        <v>2019</v>
      </c>
      <c r="D50" s="103" t="s">
        <v>219</v>
      </c>
      <c r="E50" s="104">
        <f t="shared" si="8"/>
        <v>14000</v>
      </c>
      <c r="F50" s="104">
        <f t="shared" si="8"/>
        <v>7000</v>
      </c>
      <c r="G50" s="99"/>
      <c r="H50" s="105"/>
      <c r="I50" s="105"/>
      <c r="J50" s="105"/>
      <c r="K50" s="97">
        <v>7000</v>
      </c>
      <c r="L50" s="105"/>
      <c r="M50" s="108" t="s">
        <v>220</v>
      </c>
      <c r="N50" s="115" t="s">
        <v>225</v>
      </c>
      <c r="O50" s="116"/>
      <c r="P50" s="57"/>
      <c r="Q50" s="49"/>
    </row>
    <row r="51" spans="1:24" ht="315">
      <c r="A51" s="17"/>
      <c r="B51" s="66" t="s">
        <v>221</v>
      </c>
      <c r="C51" s="103">
        <v>2019</v>
      </c>
      <c r="D51" s="103" t="s">
        <v>222</v>
      </c>
      <c r="E51" s="114">
        <v>16817.014999999999</v>
      </c>
      <c r="F51" s="114">
        <f>E51</f>
        <v>16817.014999999999</v>
      </c>
      <c r="G51" s="115"/>
      <c r="H51" s="115"/>
      <c r="I51" s="115"/>
      <c r="J51" s="25"/>
      <c r="K51" s="25"/>
      <c r="L51" s="115">
        <f>F51</f>
        <v>16817.014999999999</v>
      </c>
      <c r="M51" s="111" t="s">
        <v>223</v>
      </c>
      <c r="N51" s="109" t="s">
        <v>60</v>
      </c>
      <c r="O51" s="116"/>
      <c r="P51" s="57"/>
      <c r="Q51" s="49"/>
    </row>
    <row r="52" spans="1:24">
      <c r="A52" s="17"/>
      <c r="B52" s="18"/>
      <c r="C52" s="34"/>
      <c r="D52" s="110"/>
      <c r="E52" s="1"/>
      <c r="F52" s="285">
        <f>SUM(F53:F56)</f>
        <v>106669.78099999999</v>
      </c>
      <c r="G52" s="285">
        <f t="shared" ref="G52:L52" si="9">SUM(G53:G56)</f>
        <v>44040.053999999996</v>
      </c>
      <c r="H52" s="285">
        <f t="shared" si="9"/>
        <v>0</v>
      </c>
      <c r="I52" s="285">
        <f t="shared" si="9"/>
        <v>57736.341999999997</v>
      </c>
      <c r="J52" s="285">
        <f t="shared" si="9"/>
        <v>0</v>
      </c>
      <c r="K52" s="285">
        <f t="shared" si="9"/>
        <v>4893.3850000000002</v>
      </c>
      <c r="L52" s="285">
        <f t="shared" si="9"/>
        <v>0</v>
      </c>
      <c r="M52" s="13"/>
      <c r="N52" s="7"/>
      <c r="O52" s="116"/>
      <c r="P52" s="57"/>
      <c r="Q52" s="49"/>
    </row>
    <row r="53" spans="1:24" s="119" customFormat="1" ht="94.5">
      <c r="A53" s="121">
        <v>4</v>
      </c>
      <c r="B53" s="122" t="s">
        <v>47</v>
      </c>
      <c r="C53" s="343" t="s">
        <v>27</v>
      </c>
      <c r="D53" s="344" t="s">
        <v>136</v>
      </c>
      <c r="E53" s="123">
        <v>61688.86</v>
      </c>
      <c r="F53" s="124"/>
      <c r="G53" s="124"/>
      <c r="H53" s="125"/>
      <c r="I53" s="126"/>
      <c r="J53" s="126"/>
      <c r="K53" s="124"/>
      <c r="L53" s="126"/>
      <c r="M53" s="127" t="s">
        <v>32</v>
      </c>
      <c r="N53" s="345" t="s">
        <v>152</v>
      </c>
      <c r="O53" s="128" t="s">
        <v>155</v>
      </c>
      <c r="P53" s="120">
        <f t="shared" si="3"/>
        <v>0</v>
      </c>
      <c r="Q53" s="118">
        <f t="shared" si="2"/>
        <v>0</v>
      </c>
    </row>
    <row r="54" spans="1:24" s="119" customFormat="1" ht="31.5">
      <c r="A54" s="121"/>
      <c r="B54" s="122" t="s">
        <v>37</v>
      </c>
      <c r="C54" s="343"/>
      <c r="D54" s="344"/>
      <c r="E54" s="129"/>
      <c r="F54" s="125">
        <f>G54+K54</f>
        <v>20397.787999999997</v>
      </c>
      <c r="G54" s="126">
        <v>18358.008999999998</v>
      </c>
      <c r="H54" s="125"/>
      <c r="I54" s="126"/>
      <c r="J54" s="126"/>
      <c r="K54" s="126">
        <v>2039.779</v>
      </c>
      <c r="L54" s="126"/>
      <c r="M54" s="127"/>
      <c r="N54" s="345"/>
      <c r="O54" s="128" t="s">
        <v>155</v>
      </c>
      <c r="P54" s="120">
        <f t="shared" si="3"/>
        <v>0</v>
      </c>
      <c r="Q54" s="118">
        <f t="shared" si="2"/>
        <v>-1.3642420526593924E-12</v>
      </c>
      <c r="R54" s="120"/>
    </row>
    <row r="55" spans="1:24" s="119" customFormat="1" ht="31.5">
      <c r="A55" s="121"/>
      <c r="B55" s="122" t="s">
        <v>48</v>
      </c>
      <c r="C55" s="343"/>
      <c r="D55" s="344"/>
      <c r="E55" s="130"/>
      <c r="F55" s="125">
        <f>G55+K55</f>
        <v>28535.650999999998</v>
      </c>
      <c r="G55" s="124">
        <v>25682.044999999998</v>
      </c>
      <c r="H55" s="125"/>
      <c r="I55" s="125"/>
      <c r="J55" s="125"/>
      <c r="K55" s="124">
        <v>2853.6060000000002</v>
      </c>
      <c r="L55" s="125" t="s">
        <v>38</v>
      </c>
      <c r="M55" s="130"/>
      <c r="N55" s="345"/>
      <c r="O55" s="128" t="s">
        <v>155</v>
      </c>
      <c r="P55" s="120"/>
      <c r="Q55" s="118">
        <f>F55-G55-K55</f>
        <v>0</v>
      </c>
    </row>
    <row r="56" spans="1:24" s="119" customFormat="1" ht="65.25" customHeight="1">
      <c r="A56" s="121"/>
      <c r="B56" s="133" t="s">
        <v>56</v>
      </c>
      <c r="C56" s="134">
        <v>2019</v>
      </c>
      <c r="D56" s="131" t="s">
        <v>140</v>
      </c>
      <c r="E56" s="130">
        <v>57736.341999999997</v>
      </c>
      <c r="F56" s="125">
        <f>E56</f>
        <v>57736.341999999997</v>
      </c>
      <c r="G56" s="126"/>
      <c r="H56" s="125"/>
      <c r="I56" s="125">
        <f>F56</f>
        <v>57736.341999999997</v>
      </c>
      <c r="J56" s="125"/>
      <c r="K56" s="125"/>
      <c r="L56" s="125"/>
      <c r="M56" s="135" t="s">
        <v>109</v>
      </c>
      <c r="N56" s="132" t="s">
        <v>58</v>
      </c>
      <c r="O56" s="132" t="s">
        <v>159</v>
      </c>
      <c r="P56" s="120"/>
      <c r="Q56" s="118"/>
    </row>
    <row r="57" spans="1:24" s="175" customFormat="1" ht="65.25" customHeight="1">
      <c r="A57" s="164"/>
      <c r="B57" s="165"/>
      <c r="C57" s="166"/>
      <c r="D57" s="167"/>
      <c r="E57" s="168"/>
      <c r="F57" s="284">
        <f>SUM(F58:F72)</f>
        <v>353756.40599999996</v>
      </c>
      <c r="G57" s="284">
        <f t="shared" ref="G57:L57" si="10">SUM(G58:G72)</f>
        <v>68919.614999999991</v>
      </c>
      <c r="H57" s="284">
        <f t="shared" si="10"/>
        <v>0</v>
      </c>
      <c r="I57" s="284">
        <f t="shared" si="10"/>
        <v>89467.909</v>
      </c>
      <c r="J57" s="284">
        <f t="shared" si="10"/>
        <v>9407.8099999999977</v>
      </c>
      <c r="K57" s="284">
        <f t="shared" si="10"/>
        <v>10002.737000000001</v>
      </c>
      <c r="L57" s="284">
        <f t="shared" si="10"/>
        <v>175958.33499999999</v>
      </c>
      <c r="M57" s="171"/>
      <c r="N57" s="172"/>
      <c r="O57" s="172"/>
      <c r="P57" s="173"/>
      <c r="Q57" s="174"/>
    </row>
    <row r="58" spans="1:24" s="175" customFormat="1" ht="346.5">
      <c r="A58" s="164">
        <v>5</v>
      </c>
      <c r="B58" s="176" t="s">
        <v>24</v>
      </c>
      <c r="C58" s="164">
        <v>2019</v>
      </c>
      <c r="D58" s="352" t="s">
        <v>43</v>
      </c>
      <c r="E58" s="177">
        <v>33795.559000000001</v>
      </c>
      <c r="F58" s="178">
        <f>G58+K58</f>
        <v>33233.784</v>
      </c>
      <c r="G58" s="179">
        <v>29910.404999999999</v>
      </c>
      <c r="H58" s="169"/>
      <c r="I58" s="170"/>
      <c r="J58" s="170"/>
      <c r="K58" s="169">
        <v>3323.3789999999999</v>
      </c>
      <c r="L58" s="170"/>
      <c r="M58" s="180" t="s">
        <v>33</v>
      </c>
      <c r="N58" s="181" t="s">
        <v>153</v>
      </c>
      <c r="O58" s="182" t="s">
        <v>155</v>
      </c>
      <c r="P58" s="173">
        <f t="shared" si="3"/>
        <v>0</v>
      </c>
      <c r="Q58" s="174"/>
      <c r="R58" s="173"/>
      <c r="S58" s="173"/>
      <c r="W58" s="173"/>
      <c r="X58" s="173"/>
    </row>
    <row r="59" spans="1:24" s="175" customFormat="1" ht="267.75">
      <c r="A59" s="164">
        <v>6</v>
      </c>
      <c r="B59" s="183" t="s">
        <v>25</v>
      </c>
      <c r="C59" s="164" t="s">
        <v>28</v>
      </c>
      <c r="D59" s="352"/>
      <c r="E59" s="179">
        <v>94895.804000000004</v>
      </c>
      <c r="F59" s="179">
        <f>G59+K59</f>
        <v>43343.567999999999</v>
      </c>
      <c r="G59" s="179">
        <v>39009.21</v>
      </c>
      <c r="H59" s="169"/>
      <c r="I59" s="170"/>
      <c r="J59" s="170"/>
      <c r="K59" s="179">
        <v>4334.3580000000002</v>
      </c>
      <c r="L59" s="170"/>
      <c r="M59" s="180" t="s">
        <v>34</v>
      </c>
      <c r="N59" s="181" t="s">
        <v>154</v>
      </c>
      <c r="O59" s="182" t="s">
        <v>155</v>
      </c>
      <c r="P59" s="173">
        <f t="shared" si="3"/>
        <v>0</v>
      </c>
      <c r="Q59" s="174">
        <f t="shared" si="2"/>
        <v>0</v>
      </c>
    </row>
    <row r="60" spans="1:24" s="175" customFormat="1" ht="173.25">
      <c r="A60" s="164"/>
      <c r="B60" s="183" t="s">
        <v>50</v>
      </c>
      <c r="C60" s="197" t="s">
        <v>39</v>
      </c>
      <c r="D60" s="352" t="s">
        <v>43</v>
      </c>
      <c r="E60" s="170">
        <v>35797.843000000001</v>
      </c>
      <c r="F60" s="170">
        <f>E60-10437.014</f>
        <v>25360.829000000002</v>
      </c>
      <c r="G60" s="170"/>
      <c r="H60" s="170"/>
      <c r="I60" s="170">
        <f>F60</f>
        <v>25360.829000000002</v>
      </c>
      <c r="J60" s="170"/>
      <c r="K60" s="170"/>
      <c r="L60" s="170"/>
      <c r="M60" s="171" t="s">
        <v>99</v>
      </c>
      <c r="N60" s="172" t="s">
        <v>59</v>
      </c>
      <c r="O60" s="172" t="s">
        <v>159</v>
      </c>
      <c r="P60" s="173"/>
      <c r="Q60" s="174"/>
    </row>
    <row r="61" spans="1:24" s="175" customFormat="1" ht="157.5">
      <c r="A61" s="164"/>
      <c r="B61" s="183" t="s">
        <v>51</v>
      </c>
      <c r="C61" s="197" t="s">
        <v>39</v>
      </c>
      <c r="D61" s="352"/>
      <c r="E61" s="170">
        <v>24980.645</v>
      </c>
      <c r="F61" s="170">
        <f>E61-7271.621</f>
        <v>17709.024000000001</v>
      </c>
      <c r="G61" s="170"/>
      <c r="H61" s="170"/>
      <c r="I61" s="170">
        <f>F61</f>
        <v>17709.024000000001</v>
      </c>
      <c r="J61" s="170"/>
      <c r="K61" s="170"/>
      <c r="L61" s="170"/>
      <c r="M61" s="171" t="s">
        <v>100</v>
      </c>
      <c r="N61" s="172" t="s">
        <v>59</v>
      </c>
      <c r="O61" s="172" t="s">
        <v>159</v>
      </c>
      <c r="P61" s="173"/>
      <c r="Q61" s="174"/>
    </row>
    <row r="62" spans="1:24" s="175" customFormat="1" ht="110.25">
      <c r="A62" s="164"/>
      <c r="B62" s="183" t="s">
        <v>52</v>
      </c>
      <c r="C62" s="197">
        <v>2019</v>
      </c>
      <c r="D62" s="352"/>
      <c r="E62" s="172">
        <v>24216.973000000002</v>
      </c>
      <c r="F62" s="170">
        <v>24216.973000000002</v>
      </c>
      <c r="G62" s="170"/>
      <c r="H62" s="170"/>
      <c r="I62" s="170">
        <f>F62</f>
        <v>24216.973000000002</v>
      </c>
      <c r="J62" s="170"/>
      <c r="K62" s="170"/>
      <c r="L62" s="170"/>
      <c r="M62" s="171" t="s">
        <v>101</v>
      </c>
      <c r="N62" s="172" t="s">
        <v>59</v>
      </c>
      <c r="O62" s="172" t="s">
        <v>159</v>
      </c>
      <c r="P62" s="173"/>
      <c r="Q62" s="174"/>
    </row>
    <row r="63" spans="1:24" s="175" customFormat="1" ht="110.25">
      <c r="A63" s="164"/>
      <c r="B63" s="183" t="s">
        <v>53</v>
      </c>
      <c r="C63" s="197">
        <v>2019</v>
      </c>
      <c r="D63" s="352"/>
      <c r="E63" s="172">
        <v>22181.082999999999</v>
      </c>
      <c r="F63" s="170">
        <v>22181.082999999999</v>
      </c>
      <c r="G63" s="170"/>
      <c r="H63" s="170"/>
      <c r="I63" s="170">
        <f>F63</f>
        <v>22181.082999999999</v>
      </c>
      <c r="J63" s="170"/>
      <c r="K63" s="170"/>
      <c r="L63" s="170"/>
      <c r="M63" s="171" t="s">
        <v>102</v>
      </c>
      <c r="N63" s="172" t="s">
        <v>59</v>
      </c>
      <c r="O63" s="172" t="s">
        <v>159</v>
      </c>
      <c r="P63" s="173"/>
      <c r="Q63" s="174"/>
    </row>
    <row r="64" spans="1:24" s="175" customFormat="1" ht="185.25">
      <c r="A64" s="164"/>
      <c r="B64" s="165" t="s">
        <v>79</v>
      </c>
      <c r="C64" s="166" t="s">
        <v>27</v>
      </c>
      <c r="D64" s="167" t="s">
        <v>62</v>
      </c>
      <c r="E64" s="168">
        <v>19382.317999999999</v>
      </c>
      <c r="F64" s="169">
        <f>J64+K64</f>
        <v>9407.8099999999977</v>
      </c>
      <c r="G64" s="170"/>
      <c r="H64" s="169"/>
      <c r="I64" s="169"/>
      <c r="J64" s="169">
        <f>17444.1-3484.25-4552.04</f>
        <v>9407.8099999999977</v>
      </c>
      <c r="K64" s="169">
        <f>1938.262-1938.262</f>
        <v>0</v>
      </c>
      <c r="L64" s="169"/>
      <c r="M64" s="172" t="s">
        <v>113</v>
      </c>
      <c r="N64" s="180" t="s">
        <v>59</v>
      </c>
      <c r="O64" s="198" t="s">
        <v>162</v>
      </c>
      <c r="P64" s="173"/>
      <c r="Q64" s="174"/>
    </row>
    <row r="65" spans="1:21" s="175" customFormat="1" ht="165.75">
      <c r="A65" s="220"/>
      <c r="B65" s="193" t="s">
        <v>80</v>
      </c>
      <c r="C65" s="194">
        <v>2019</v>
      </c>
      <c r="D65" s="221" t="s">
        <v>43</v>
      </c>
      <c r="E65" s="222">
        <f>F65</f>
        <v>64395.892999999996</v>
      </c>
      <c r="F65" s="222">
        <f>L65</f>
        <v>64395.892999999996</v>
      </c>
      <c r="G65" s="195"/>
      <c r="H65" s="222"/>
      <c r="I65" s="222"/>
      <c r="J65" s="223"/>
      <c r="K65" s="222"/>
      <c r="L65" s="222">
        <v>64395.892999999996</v>
      </c>
      <c r="M65" s="224" t="s">
        <v>128</v>
      </c>
      <c r="N65" s="196" t="s">
        <v>59</v>
      </c>
      <c r="O65" s="225" t="s">
        <v>162</v>
      </c>
      <c r="P65" s="173"/>
      <c r="Q65" s="174"/>
    </row>
    <row r="66" spans="1:21" s="175" customFormat="1" ht="225">
      <c r="A66" s="220"/>
      <c r="B66" s="249" t="s">
        <v>145</v>
      </c>
      <c r="C66" s="250">
        <v>2019</v>
      </c>
      <c r="D66" s="221" t="s">
        <v>43</v>
      </c>
      <c r="E66" s="251">
        <v>39288.445</v>
      </c>
      <c r="F66" s="251">
        <v>23345</v>
      </c>
      <c r="G66" s="252"/>
      <c r="H66" s="252"/>
      <c r="I66" s="252"/>
      <c r="J66" s="252"/>
      <c r="K66" s="252">
        <v>2345</v>
      </c>
      <c r="L66" s="252">
        <v>21000</v>
      </c>
      <c r="M66" s="253" t="s">
        <v>146</v>
      </c>
      <c r="N66" s="254" t="s">
        <v>171</v>
      </c>
      <c r="O66" s="225"/>
      <c r="P66" s="255"/>
      <c r="Q66" s="174"/>
    </row>
    <row r="67" spans="1:21" s="175" customFormat="1" ht="225">
      <c r="A67" s="220"/>
      <c r="B67" s="249" t="s">
        <v>148</v>
      </c>
      <c r="C67" s="250">
        <v>2019</v>
      </c>
      <c r="D67" s="221" t="s">
        <v>43</v>
      </c>
      <c r="E67" s="256">
        <v>76056.346999999994</v>
      </c>
      <c r="F67" s="251">
        <v>14000</v>
      </c>
      <c r="G67" s="252"/>
      <c r="H67" s="252"/>
      <c r="I67" s="252"/>
      <c r="J67" s="252"/>
      <c r="K67" s="252"/>
      <c r="L67" s="252">
        <v>14000</v>
      </c>
      <c r="M67" s="253" t="s">
        <v>149</v>
      </c>
      <c r="N67" s="254" t="s">
        <v>170</v>
      </c>
      <c r="O67" s="225"/>
      <c r="P67" s="255"/>
      <c r="Q67" s="174"/>
    </row>
    <row r="68" spans="1:21" s="175" customFormat="1">
      <c r="O68" s="225"/>
      <c r="P68" s="255"/>
      <c r="Q68" s="174"/>
    </row>
    <row r="69" spans="1:21" s="175" customFormat="1" ht="120">
      <c r="A69" s="220"/>
      <c r="B69" s="257" t="s">
        <v>174</v>
      </c>
      <c r="C69" s="258">
        <v>2019</v>
      </c>
      <c r="D69" s="259" t="s">
        <v>175</v>
      </c>
      <c r="E69" s="258">
        <v>34562.442000000003</v>
      </c>
      <c r="F69" s="258">
        <f t="shared" ref="F69" si="11">G69+H69+I69+J69+K69+L69</f>
        <v>34562.442000000003</v>
      </c>
      <c r="G69" s="258"/>
      <c r="H69" s="258"/>
      <c r="I69" s="258"/>
      <c r="J69" s="258"/>
      <c r="K69" s="258"/>
      <c r="L69" s="258">
        <v>34562.442000000003</v>
      </c>
      <c r="M69" s="260" t="s">
        <v>176</v>
      </c>
      <c r="N69" s="260" t="s">
        <v>177</v>
      </c>
      <c r="O69" s="196"/>
      <c r="P69" s="255"/>
      <c r="Q69" s="174"/>
    </row>
    <row r="70" spans="1:21" s="175" customFormat="1" ht="75">
      <c r="A70" s="220"/>
      <c r="B70" s="257" t="s">
        <v>178</v>
      </c>
      <c r="C70" s="258">
        <v>2019</v>
      </c>
      <c r="D70" s="259" t="s">
        <v>179</v>
      </c>
      <c r="E70" s="258">
        <v>14000</v>
      </c>
      <c r="F70" s="258">
        <v>14000</v>
      </c>
      <c r="G70" s="258"/>
      <c r="H70" s="258"/>
      <c r="I70" s="258"/>
      <c r="J70" s="258"/>
      <c r="K70" s="258"/>
      <c r="L70" s="258">
        <v>14000</v>
      </c>
      <c r="M70" s="260" t="s">
        <v>180</v>
      </c>
      <c r="N70" s="347" t="s">
        <v>181</v>
      </c>
      <c r="O70" s="196"/>
      <c r="P70" s="255"/>
      <c r="Q70" s="174"/>
    </row>
    <row r="71" spans="1:21" s="175" customFormat="1" ht="75">
      <c r="A71" s="220"/>
      <c r="B71" s="257" t="s">
        <v>182</v>
      </c>
      <c r="C71" s="258">
        <v>2019</v>
      </c>
      <c r="D71" s="259"/>
      <c r="E71" s="258">
        <v>14000</v>
      </c>
      <c r="F71" s="258">
        <v>14000</v>
      </c>
      <c r="G71" s="258"/>
      <c r="H71" s="258"/>
      <c r="I71" s="258"/>
      <c r="J71" s="258"/>
      <c r="K71" s="258"/>
      <c r="L71" s="258">
        <v>14000</v>
      </c>
      <c r="M71" s="260" t="s">
        <v>183</v>
      </c>
      <c r="N71" s="347"/>
      <c r="O71" s="261"/>
      <c r="P71" s="255"/>
      <c r="Q71" s="174"/>
    </row>
    <row r="72" spans="1:21" s="175" customFormat="1" ht="90">
      <c r="A72" s="220"/>
      <c r="B72" s="257" t="s">
        <v>184</v>
      </c>
      <c r="C72" s="258">
        <v>2019</v>
      </c>
      <c r="D72" s="259" t="s">
        <v>179</v>
      </c>
      <c r="E72" s="258">
        <v>14000</v>
      </c>
      <c r="F72" s="258">
        <v>14000</v>
      </c>
      <c r="G72" s="258"/>
      <c r="H72" s="258"/>
      <c r="I72" s="258"/>
      <c r="J72" s="258"/>
      <c r="K72" s="258"/>
      <c r="L72" s="258">
        <v>14000</v>
      </c>
      <c r="M72" s="260" t="s">
        <v>185</v>
      </c>
      <c r="N72" s="347"/>
      <c r="O72" s="261"/>
      <c r="P72" s="255"/>
      <c r="Q72" s="174"/>
    </row>
    <row r="73" spans="1:21" s="175" customFormat="1">
      <c r="A73" s="164"/>
      <c r="B73" s="183"/>
      <c r="C73" s="164"/>
      <c r="D73" s="167"/>
      <c r="E73" s="179"/>
      <c r="F73" s="179"/>
      <c r="G73" s="179"/>
      <c r="H73" s="169"/>
      <c r="I73" s="170"/>
      <c r="J73" s="170"/>
      <c r="K73" s="179"/>
      <c r="L73" s="170"/>
      <c r="M73" s="180"/>
      <c r="N73" s="181"/>
      <c r="O73" s="182"/>
      <c r="P73" s="173"/>
      <c r="Q73" s="174"/>
    </row>
    <row r="74" spans="1:21" s="175" customFormat="1">
      <c r="A74" s="164"/>
      <c r="B74" s="183"/>
      <c r="C74" s="164"/>
      <c r="D74" s="167"/>
      <c r="E74" s="179"/>
      <c r="F74" s="179"/>
      <c r="G74" s="179"/>
      <c r="H74" s="169"/>
      <c r="I74" s="170"/>
      <c r="J74" s="170"/>
      <c r="K74" s="179"/>
      <c r="L74" s="170"/>
      <c r="M74" s="180"/>
      <c r="N74" s="181"/>
      <c r="O74" s="182"/>
      <c r="P74" s="173"/>
      <c r="Q74" s="174"/>
    </row>
    <row r="75" spans="1:21" s="159" customFormat="1">
      <c r="A75" s="148" t="s">
        <v>226</v>
      </c>
      <c r="B75" s="149"/>
      <c r="C75" s="148"/>
      <c r="D75" s="150"/>
      <c r="E75" s="151"/>
      <c r="F75" s="151"/>
      <c r="G75" s="151"/>
      <c r="H75" s="152"/>
      <c r="I75" s="153"/>
      <c r="J75" s="153"/>
      <c r="K75" s="151"/>
      <c r="L75" s="153"/>
      <c r="M75" s="154"/>
      <c r="N75" s="155"/>
      <c r="O75" s="156"/>
      <c r="P75" s="157"/>
      <c r="Q75" s="158"/>
    </row>
    <row r="76" spans="1:21" s="159" customFormat="1">
      <c r="A76" s="148"/>
      <c r="B76" s="149"/>
      <c r="C76" s="148"/>
      <c r="D76" s="150"/>
      <c r="E76" s="151"/>
      <c r="F76" s="286">
        <f>SUM(F77:F78)</f>
        <v>7505.7070000000003</v>
      </c>
      <c r="G76" s="286">
        <f t="shared" ref="G76:L76" si="12">SUM(G77:G78)</f>
        <v>5768.1170000000002</v>
      </c>
      <c r="H76" s="286">
        <f t="shared" si="12"/>
        <v>0</v>
      </c>
      <c r="I76" s="286">
        <f t="shared" si="12"/>
        <v>0</v>
      </c>
      <c r="J76" s="286">
        <f t="shared" si="12"/>
        <v>0</v>
      </c>
      <c r="K76" s="286">
        <f t="shared" si="12"/>
        <v>640.90200000000004</v>
      </c>
      <c r="L76" s="286">
        <f t="shared" si="12"/>
        <v>1096.6880000000001</v>
      </c>
      <c r="M76" s="154"/>
      <c r="N76" s="155"/>
      <c r="O76" s="156"/>
      <c r="P76" s="157"/>
      <c r="Q76" s="158"/>
    </row>
    <row r="77" spans="1:21" s="159" customFormat="1" ht="206.25">
      <c r="A77" s="272"/>
      <c r="B77" s="273" t="s">
        <v>190</v>
      </c>
      <c r="C77" s="274">
        <v>2019</v>
      </c>
      <c r="D77" s="273" t="s">
        <v>44</v>
      </c>
      <c r="E77" s="275">
        <v>1096.6880000000001</v>
      </c>
      <c r="F77" s="275">
        <f>E77</f>
        <v>1096.6880000000001</v>
      </c>
      <c r="G77" s="276"/>
      <c r="H77" s="277"/>
      <c r="I77" s="278"/>
      <c r="J77" s="278"/>
      <c r="K77" s="276"/>
      <c r="L77" s="278">
        <f>F77</f>
        <v>1096.6880000000001</v>
      </c>
      <c r="M77" s="279" t="s">
        <v>191</v>
      </c>
      <c r="N77" s="280"/>
      <c r="O77" s="156"/>
      <c r="P77" s="157"/>
      <c r="Q77" s="158"/>
    </row>
    <row r="78" spans="1:21" s="159" customFormat="1" ht="252">
      <c r="A78" s="148">
        <v>7</v>
      </c>
      <c r="B78" s="160" t="s">
        <v>26</v>
      </c>
      <c r="C78" s="161">
        <v>2019</v>
      </c>
      <c r="D78" s="150" t="s">
        <v>44</v>
      </c>
      <c r="E78" s="162">
        <v>6456.5410000000002</v>
      </c>
      <c r="F78" s="153">
        <f>G78+K78</f>
        <v>6409.0190000000002</v>
      </c>
      <c r="G78" s="153">
        <v>5768.1170000000002</v>
      </c>
      <c r="H78" s="152"/>
      <c r="I78" s="153"/>
      <c r="J78" s="153"/>
      <c r="K78" s="153">
        <v>640.90200000000004</v>
      </c>
      <c r="L78" s="153"/>
      <c r="M78" s="163" t="s">
        <v>35</v>
      </c>
      <c r="N78" s="155" t="s">
        <v>36</v>
      </c>
      <c r="O78" s="156" t="s">
        <v>155</v>
      </c>
      <c r="P78" s="157">
        <f t="shared" si="3"/>
        <v>0</v>
      </c>
      <c r="Q78" s="158">
        <f t="shared" si="2"/>
        <v>0</v>
      </c>
    </row>
    <row r="79" spans="1:21" s="147" customFormat="1">
      <c r="A79" s="137"/>
      <c r="B79" s="138"/>
      <c r="C79" s="139"/>
      <c r="D79" s="140"/>
      <c r="E79" s="141"/>
      <c r="F79" s="287">
        <f>SUM(F80:F83)</f>
        <v>67990.35500000001</v>
      </c>
      <c r="G79" s="287">
        <f t="shared" ref="G79:L79" si="13">SUM(G80:G83)</f>
        <v>8859.0480000000007</v>
      </c>
      <c r="H79" s="287">
        <f t="shared" si="13"/>
        <v>0</v>
      </c>
      <c r="I79" s="287">
        <f t="shared" si="13"/>
        <v>0</v>
      </c>
      <c r="J79" s="287">
        <f t="shared" si="13"/>
        <v>11210.6</v>
      </c>
      <c r="K79" s="287">
        <f t="shared" si="13"/>
        <v>4791.5759999999991</v>
      </c>
      <c r="L79" s="287">
        <f t="shared" si="13"/>
        <v>43129.131000000001</v>
      </c>
      <c r="M79" s="142"/>
      <c r="N79" s="143"/>
      <c r="O79" s="144"/>
      <c r="P79" s="145"/>
      <c r="Q79" s="146"/>
    </row>
    <row r="80" spans="1:21" s="147" customFormat="1" ht="165.75">
      <c r="A80" s="199">
        <v>8</v>
      </c>
      <c r="B80" s="200" t="s">
        <v>46</v>
      </c>
      <c r="C80" s="201" t="s">
        <v>39</v>
      </c>
      <c r="D80" s="202" t="s">
        <v>45</v>
      </c>
      <c r="E80" s="203">
        <v>12174.419</v>
      </c>
      <c r="F80" s="204">
        <f>E80-192.411-27</f>
        <v>11955.008</v>
      </c>
      <c r="G80" s="205">
        <v>8859.0480000000007</v>
      </c>
      <c r="H80" s="204"/>
      <c r="I80" s="204"/>
      <c r="J80" s="204"/>
      <c r="K80" s="204">
        <f>F80-G80</f>
        <v>3095.9599999999991</v>
      </c>
      <c r="L80" s="203"/>
      <c r="M80" s="206" t="s">
        <v>40</v>
      </c>
      <c r="N80" s="207" t="s">
        <v>41</v>
      </c>
      <c r="O80" s="208" t="s">
        <v>155</v>
      </c>
      <c r="P80" s="213">
        <f t="shared" si="3"/>
        <v>0</v>
      </c>
      <c r="Q80" s="214">
        <f t="shared" si="2"/>
        <v>0</v>
      </c>
      <c r="R80" s="215"/>
      <c r="S80" s="215"/>
      <c r="T80" s="215"/>
      <c r="U80" s="215"/>
    </row>
    <row r="81" spans="1:21" s="147" customFormat="1" ht="206.25">
      <c r="A81" s="199"/>
      <c r="B81" s="262" t="s">
        <v>186</v>
      </c>
      <c r="C81" s="263">
        <v>2019</v>
      </c>
      <c r="D81" s="264" t="s">
        <v>45</v>
      </c>
      <c r="E81" s="265">
        <v>4500</v>
      </c>
      <c r="F81" s="265">
        <v>4500</v>
      </c>
      <c r="G81" s="265"/>
      <c r="H81" s="266"/>
      <c r="I81" s="267"/>
      <c r="J81" s="267"/>
      <c r="K81" s="265">
        <v>450</v>
      </c>
      <c r="L81" s="267">
        <v>4050</v>
      </c>
      <c r="M81" s="268" t="s">
        <v>187</v>
      </c>
      <c r="N81" s="207"/>
      <c r="O81" s="208"/>
      <c r="P81" s="213"/>
      <c r="Q81" s="214"/>
      <c r="R81" s="215"/>
      <c r="S81" s="215"/>
      <c r="T81" s="215"/>
      <c r="U81" s="215"/>
    </row>
    <row r="82" spans="1:21" s="147" customFormat="1" ht="262.5">
      <c r="A82" s="199"/>
      <c r="B82" s="262" t="s">
        <v>188</v>
      </c>
      <c r="C82" s="269">
        <v>2019</v>
      </c>
      <c r="D82" s="264" t="s">
        <v>45</v>
      </c>
      <c r="E82" s="270">
        <v>2000</v>
      </c>
      <c r="F82" s="267">
        <v>2000</v>
      </c>
      <c r="G82" s="267"/>
      <c r="H82" s="266"/>
      <c r="I82" s="267"/>
      <c r="J82" s="267"/>
      <c r="K82" s="267"/>
      <c r="L82" s="267">
        <v>2000</v>
      </c>
      <c r="M82" s="271" t="s">
        <v>189</v>
      </c>
      <c r="N82" s="207"/>
      <c r="O82" s="208"/>
      <c r="P82" s="213"/>
      <c r="Q82" s="214"/>
      <c r="R82" s="215"/>
      <c r="S82" s="215"/>
      <c r="T82" s="215"/>
      <c r="U82" s="215"/>
    </row>
    <row r="83" spans="1:21" ht="185.25">
      <c r="A83" s="199">
        <v>9</v>
      </c>
      <c r="B83" s="209" t="s">
        <v>69</v>
      </c>
      <c r="C83" s="210" t="s">
        <v>39</v>
      </c>
      <c r="D83" s="202" t="s">
        <v>62</v>
      </c>
      <c r="E83" s="211">
        <v>49535.347000000002</v>
      </c>
      <c r="F83" s="204">
        <f>E83</f>
        <v>49535.347000000002</v>
      </c>
      <c r="G83" s="203"/>
      <c r="H83" s="204"/>
      <c r="I83" s="204"/>
      <c r="J83" s="204">
        <v>11210.6</v>
      </c>
      <c r="K83" s="204">
        <v>1245.616</v>
      </c>
      <c r="L83" s="204">
        <f>E83-J83-K83</f>
        <v>37079.131000000001</v>
      </c>
      <c r="M83" s="206" t="s">
        <v>121</v>
      </c>
      <c r="N83" s="206" t="s">
        <v>41</v>
      </c>
      <c r="O83" s="212" t="s">
        <v>162</v>
      </c>
      <c r="P83" s="213">
        <f>G15+H15+I15+J15+K15+L15-F15</f>
        <v>0</v>
      </c>
      <c r="Q83" s="214">
        <f>F15-G15-H15-I15-J15-K15-L15</f>
        <v>-4.5474735088646412E-13</v>
      </c>
      <c r="R83" s="215"/>
      <c r="S83" s="215"/>
      <c r="T83" s="215"/>
      <c r="U83" s="215"/>
    </row>
    <row r="84" spans="1:21" s="192" customFormat="1">
      <c r="A84" s="184"/>
      <c r="B84" s="185"/>
      <c r="C84" s="216"/>
      <c r="D84" s="186"/>
      <c r="E84" s="217"/>
      <c r="F84" s="288">
        <f>SUM(F85:F88)</f>
        <v>17949.773000000001</v>
      </c>
      <c r="G84" s="288">
        <f t="shared" ref="G84:L84" si="14">SUM(G85:G88)</f>
        <v>0</v>
      </c>
      <c r="H84" s="288">
        <f t="shared" si="14"/>
        <v>0</v>
      </c>
      <c r="I84" s="288">
        <f t="shared" si="14"/>
        <v>6449.773000000001</v>
      </c>
      <c r="J84" s="288">
        <f t="shared" si="14"/>
        <v>0</v>
      </c>
      <c r="K84" s="288">
        <f t="shared" si="14"/>
        <v>0</v>
      </c>
      <c r="L84" s="288">
        <f t="shared" si="14"/>
        <v>11500</v>
      </c>
      <c r="M84" s="189"/>
      <c r="N84" s="189"/>
      <c r="O84" s="219"/>
      <c r="P84" s="190"/>
      <c r="Q84" s="191"/>
    </row>
    <row r="85" spans="1:21" s="192" customFormat="1" ht="126">
      <c r="A85" s="184">
        <f>A83+1</f>
        <v>10</v>
      </c>
      <c r="B85" s="185" t="s">
        <v>49</v>
      </c>
      <c r="C85" s="184" t="s">
        <v>39</v>
      </c>
      <c r="D85" s="186" t="s">
        <v>55</v>
      </c>
      <c r="E85" s="187">
        <v>8940.02</v>
      </c>
      <c r="F85" s="187">
        <f>E85-2490.247</f>
        <v>6449.773000000001</v>
      </c>
      <c r="G85" s="187"/>
      <c r="H85" s="187"/>
      <c r="I85" s="187">
        <f>F85</f>
        <v>6449.773000000001</v>
      </c>
      <c r="J85" s="187"/>
      <c r="K85" s="187"/>
      <c r="L85" s="187"/>
      <c r="M85" s="188" t="s">
        <v>98</v>
      </c>
      <c r="N85" s="189" t="s">
        <v>57</v>
      </c>
      <c r="O85" s="189" t="s">
        <v>159</v>
      </c>
      <c r="P85" s="190">
        <f t="shared" si="3"/>
        <v>0</v>
      </c>
      <c r="Q85" s="191">
        <f t="shared" si="2"/>
        <v>0</v>
      </c>
    </row>
    <row r="86" spans="1:21" s="192" customFormat="1" ht="164.25">
      <c r="A86" s="184"/>
      <c r="B86" s="185" t="s">
        <v>91</v>
      </c>
      <c r="C86" s="184">
        <v>2019</v>
      </c>
      <c r="D86" s="186" t="s">
        <v>97</v>
      </c>
      <c r="E86" s="189">
        <v>2500</v>
      </c>
      <c r="F86" s="218">
        <f>E86</f>
        <v>2500</v>
      </c>
      <c r="G86" s="187"/>
      <c r="H86" s="218"/>
      <c r="I86" s="218"/>
      <c r="J86" s="218"/>
      <c r="K86" s="218"/>
      <c r="L86" s="218">
        <f>F86</f>
        <v>2500</v>
      </c>
      <c r="M86" s="217" t="s">
        <v>132</v>
      </c>
      <c r="N86" s="189" t="s">
        <v>96</v>
      </c>
      <c r="O86" s="231"/>
      <c r="P86" s="190"/>
      <c r="Q86" s="191"/>
    </row>
    <row r="87" spans="1:21" s="192" customFormat="1" ht="164.25">
      <c r="A87" s="184"/>
      <c r="B87" s="185" t="s">
        <v>92</v>
      </c>
      <c r="C87" s="184">
        <v>2019</v>
      </c>
      <c r="D87" s="186" t="s">
        <v>97</v>
      </c>
      <c r="E87" s="189">
        <v>4000</v>
      </c>
      <c r="F87" s="218">
        <f>E87</f>
        <v>4000</v>
      </c>
      <c r="G87" s="187"/>
      <c r="H87" s="218"/>
      <c r="I87" s="218"/>
      <c r="J87" s="218"/>
      <c r="K87" s="218"/>
      <c r="L87" s="218">
        <f>F87</f>
        <v>4000</v>
      </c>
      <c r="M87" s="217" t="s">
        <v>132</v>
      </c>
      <c r="N87" s="189" t="s">
        <v>96</v>
      </c>
      <c r="O87" s="231"/>
      <c r="P87" s="190"/>
      <c r="Q87" s="191"/>
    </row>
    <row r="88" spans="1:21" s="192" customFormat="1" ht="164.25">
      <c r="A88" s="184"/>
      <c r="B88" s="185" t="s">
        <v>93</v>
      </c>
      <c r="C88" s="184">
        <v>2019</v>
      </c>
      <c r="D88" s="186" t="s">
        <v>97</v>
      </c>
      <c r="E88" s="189">
        <v>5000</v>
      </c>
      <c r="F88" s="218">
        <f>E88</f>
        <v>5000</v>
      </c>
      <c r="G88" s="187"/>
      <c r="H88" s="218"/>
      <c r="I88" s="218"/>
      <c r="J88" s="218"/>
      <c r="K88" s="218"/>
      <c r="L88" s="218">
        <f>F88</f>
        <v>5000</v>
      </c>
      <c r="M88" s="217" t="s">
        <v>132</v>
      </c>
      <c r="N88" s="189" t="s">
        <v>96</v>
      </c>
      <c r="O88" s="231"/>
      <c r="P88" s="190"/>
      <c r="Q88" s="191"/>
    </row>
    <row r="89" spans="1:21" s="192" customFormat="1">
      <c r="A89" s="184"/>
      <c r="B89" s="226"/>
      <c r="C89" s="227"/>
      <c r="D89" s="228"/>
      <c r="E89" s="229"/>
      <c r="F89" s="229"/>
      <c r="G89" s="229"/>
      <c r="H89" s="229"/>
      <c r="I89" s="229"/>
      <c r="J89" s="229"/>
      <c r="K89" s="229"/>
      <c r="L89" s="229"/>
      <c r="M89" s="230"/>
      <c r="N89" s="231"/>
      <c r="O89" s="231"/>
      <c r="P89" s="190"/>
      <c r="Q89" s="191"/>
    </row>
    <row r="90" spans="1:21">
      <c r="A90" s="58">
        <f>A85+1</f>
        <v>11</v>
      </c>
      <c r="B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P90" s="57">
        <f>G60+H60+I60+J60+K60+L60-F60</f>
        <v>0</v>
      </c>
      <c r="Q90" s="49">
        <f>F60-G60-H60-I60-J60-K60-L60</f>
        <v>0</v>
      </c>
    </row>
    <row r="91" spans="1:21">
      <c r="A91" s="58">
        <f t="shared" ref="A91:A127" si="15">A90+1</f>
        <v>12</v>
      </c>
      <c r="B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P91" s="57">
        <f>G61+H61+I61+J61+K61+L61-F61</f>
        <v>0</v>
      </c>
      <c r="Q91" s="49">
        <f>F61-G61-H61-I61-J61-K61-L61</f>
        <v>0</v>
      </c>
    </row>
    <row r="92" spans="1:21" ht="22.5" customHeight="1">
      <c r="A92" s="58" t="e">
        <f>#REF!+1</f>
        <v>#REF!</v>
      </c>
      <c r="B92" s="33"/>
      <c r="E92" s="33"/>
      <c r="F92" s="289">
        <f>SUM(F93)</f>
        <v>39926.642999999996</v>
      </c>
      <c r="G92" s="289">
        <f t="shared" ref="G92:L92" si="16">SUM(G93)</f>
        <v>0</v>
      </c>
      <c r="H92" s="289">
        <f t="shared" si="16"/>
        <v>0</v>
      </c>
      <c r="I92" s="289">
        <f t="shared" si="16"/>
        <v>0</v>
      </c>
      <c r="J92" s="289">
        <f t="shared" si="16"/>
        <v>32459.387999999999</v>
      </c>
      <c r="K92" s="289">
        <f t="shared" si="16"/>
        <v>1749.6913000000004</v>
      </c>
      <c r="L92" s="289">
        <f t="shared" si="16"/>
        <v>5717.563699999997</v>
      </c>
      <c r="M92" s="33"/>
      <c r="N92" s="33"/>
      <c r="P92" s="57">
        <f>G37+H37+I37+J37+K37+L37-F37</f>
        <v>0</v>
      </c>
      <c r="Q92" s="49">
        <f>F37-G37-H37-I37-J37-K37-L37</f>
        <v>-2.1316282072803006E-14</v>
      </c>
    </row>
    <row r="93" spans="1:21" ht="185.25">
      <c r="A93" s="58" t="e">
        <f t="shared" si="15"/>
        <v>#REF!</v>
      </c>
      <c r="B93" s="73" t="s">
        <v>78</v>
      </c>
      <c r="C93" s="58" t="s">
        <v>27</v>
      </c>
      <c r="D93" s="110" t="s">
        <v>62</v>
      </c>
      <c r="E93" s="115">
        <v>49726.913</v>
      </c>
      <c r="F93" s="37">
        <v>39926.642999999996</v>
      </c>
      <c r="G93" s="28"/>
      <c r="H93" s="37"/>
      <c r="I93" s="37"/>
      <c r="J93" s="38">
        <v>32459.387999999999</v>
      </c>
      <c r="K93" s="38">
        <f>E93*0.1-3223</f>
        <v>1749.6913000000004</v>
      </c>
      <c r="L93" s="37">
        <f>F93-J93-K93</f>
        <v>5717.563699999997</v>
      </c>
      <c r="M93" s="111" t="s">
        <v>127</v>
      </c>
      <c r="N93" s="111" t="s">
        <v>83</v>
      </c>
      <c r="O93" s="112" t="s">
        <v>162</v>
      </c>
      <c r="P93" s="57">
        <f>G93+H93+I93+J93+K93+L93-F93</f>
        <v>0</v>
      </c>
      <c r="Q93" s="49">
        <f>F93-G93-H93-I93-J93-K93-L93</f>
        <v>0</v>
      </c>
    </row>
    <row r="94" spans="1:21" s="55" customFormat="1" ht="36" customHeight="1">
      <c r="A94" s="31" t="e">
        <f t="shared" si="15"/>
        <v>#REF!</v>
      </c>
      <c r="F94" s="290">
        <f>SUM(F95)</f>
        <v>60968.923999999999</v>
      </c>
      <c r="G94" s="290">
        <f t="shared" ref="G94:L94" si="17">SUM(G95)</f>
        <v>0</v>
      </c>
      <c r="H94" s="290">
        <f t="shared" si="17"/>
        <v>5000</v>
      </c>
      <c r="I94" s="290">
        <f t="shared" si="17"/>
        <v>0</v>
      </c>
      <c r="J94" s="290">
        <f t="shared" si="17"/>
        <v>0</v>
      </c>
      <c r="K94" s="290">
        <f t="shared" si="17"/>
        <v>6000</v>
      </c>
      <c r="L94" s="290">
        <f t="shared" si="17"/>
        <v>49968.923999999999</v>
      </c>
      <c r="P94" s="57">
        <f>G65+H65+I65+J65+K65+L65-F65</f>
        <v>0</v>
      </c>
      <c r="Q94" s="49">
        <f>F65-G65-H65-I65-J65-K65-L65</f>
        <v>0</v>
      </c>
    </row>
    <row r="95" spans="1:21" ht="114" customHeight="1">
      <c r="A95" s="58" t="e">
        <f>A94+1</f>
        <v>#REF!</v>
      </c>
      <c r="B95" s="22" t="s">
        <v>87</v>
      </c>
      <c r="C95" s="31" t="s">
        <v>39</v>
      </c>
      <c r="D95" s="54" t="s">
        <v>88</v>
      </c>
      <c r="E95" s="25">
        <v>88952.455000000002</v>
      </c>
      <c r="F95" s="38">
        <f>H95+K95+L95</f>
        <v>60968.923999999999</v>
      </c>
      <c r="G95" s="29"/>
      <c r="H95" s="38">
        <v>5000</v>
      </c>
      <c r="I95" s="38"/>
      <c r="J95" s="38"/>
      <c r="K95" s="38">
        <v>6000</v>
      </c>
      <c r="L95" s="38">
        <v>49968.923999999999</v>
      </c>
      <c r="M95" s="43" t="s">
        <v>129</v>
      </c>
      <c r="N95" s="24" t="s">
        <v>86</v>
      </c>
      <c r="O95" s="20" t="s">
        <v>134</v>
      </c>
      <c r="P95" s="57">
        <f t="shared" si="3"/>
        <v>0</v>
      </c>
      <c r="Q95" s="49">
        <f t="shared" si="2"/>
        <v>0</v>
      </c>
      <c r="S95" s="33" t="s">
        <v>135</v>
      </c>
      <c r="T95" s="33">
        <v>49968.923999999999</v>
      </c>
    </row>
    <row r="96" spans="1:21" ht="77.25" customHeight="1">
      <c r="A96" s="58" t="e">
        <f t="shared" si="15"/>
        <v>#REF!</v>
      </c>
      <c r="B96" s="33"/>
      <c r="E96" s="291"/>
      <c r="F96" s="291">
        <f>SUM(F97)</f>
        <v>80218.2</v>
      </c>
      <c r="G96" s="291">
        <f t="shared" ref="G96:L96" si="18">SUM(G97)</f>
        <v>0</v>
      </c>
      <c r="H96" s="291">
        <f t="shared" si="18"/>
        <v>0</v>
      </c>
      <c r="I96" s="291">
        <f t="shared" si="18"/>
        <v>0</v>
      </c>
      <c r="J96" s="291">
        <f t="shared" si="18"/>
        <v>0</v>
      </c>
      <c r="K96" s="291">
        <f t="shared" si="18"/>
        <v>0</v>
      </c>
      <c r="L96" s="291">
        <f t="shared" si="18"/>
        <v>80218.2</v>
      </c>
      <c r="M96" s="33"/>
      <c r="N96" s="33"/>
      <c r="O96" s="348" t="s">
        <v>133</v>
      </c>
      <c r="P96" s="57">
        <f>G86+H86+I86+J86+K86+L86-F86</f>
        <v>0</v>
      </c>
      <c r="Q96" s="49">
        <f>F86-G86-H86-I86-J86-K86-L86</f>
        <v>0</v>
      </c>
    </row>
    <row r="97" spans="1:17" ht="84" customHeight="1">
      <c r="A97" s="121"/>
      <c r="B97" s="281" t="s">
        <v>172</v>
      </c>
      <c r="C97" s="282" t="s">
        <v>28</v>
      </c>
      <c r="D97" s="282" t="s">
        <v>42</v>
      </c>
      <c r="E97" s="132">
        <v>80218.2</v>
      </c>
      <c r="F97" s="132">
        <v>80218.2</v>
      </c>
      <c r="G97" s="132"/>
      <c r="H97" s="132"/>
      <c r="I97" s="132"/>
      <c r="J97" s="132"/>
      <c r="K97" s="132"/>
      <c r="L97" s="132">
        <v>80218.2</v>
      </c>
      <c r="M97" s="132" t="s">
        <v>173</v>
      </c>
      <c r="N97" s="136" t="s">
        <v>139</v>
      </c>
      <c r="O97" s="348"/>
      <c r="P97" s="57">
        <f>G87+H87+I87+J87+K87+L87-F87</f>
        <v>0</v>
      </c>
      <c r="Q97" s="49">
        <f>F87-G87-H87-I87-J87-K87-L87</f>
        <v>0</v>
      </c>
    </row>
    <row r="98" spans="1:17" ht="82.5" customHeight="1">
      <c r="A98" s="58" t="e">
        <f>#REF!+1</f>
        <v>#REF!</v>
      </c>
      <c r="B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48"/>
      <c r="P98" s="57">
        <f>G88+H88+I88+J88+K88+L88-F88</f>
        <v>0</v>
      </c>
      <c r="Q98" s="49">
        <f>F88-G88-H88-I88-J88-K88-L88</f>
        <v>0</v>
      </c>
    </row>
    <row r="99" spans="1:17" ht="236.25" customHeight="1">
      <c r="A99" s="58" t="e">
        <f t="shared" si="15"/>
        <v>#REF!</v>
      </c>
      <c r="B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48"/>
      <c r="P99" s="57">
        <f>G38+H38+I38+J38+K38+L38-F38</f>
        <v>0</v>
      </c>
      <c r="Q99" s="49">
        <f>F38-G38-H38-I38-J38-K38-L38</f>
        <v>0</v>
      </c>
    </row>
    <row r="100" spans="1:17">
      <c r="A100" s="58" t="e">
        <f t="shared" si="15"/>
        <v>#REF!</v>
      </c>
      <c r="B100" s="33"/>
      <c r="E100" s="33"/>
      <c r="F100" s="33">
        <f>SUM(F101:F105)</f>
        <v>43324.342000000004</v>
      </c>
      <c r="G100" s="291">
        <f t="shared" ref="G100:L100" si="19">SUM(G101:G105)</f>
        <v>0</v>
      </c>
      <c r="H100" s="291">
        <f t="shared" si="19"/>
        <v>0</v>
      </c>
      <c r="I100" s="291">
        <f t="shared" si="19"/>
        <v>0</v>
      </c>
      <c r="J100" s="291">
        <f t="shared" si="19"/>
        <v>29370.481</v>
      </c>
      <c r="K100" s="291">
        <f t="shared" si="19"/>
        <v>13953.861000000001</v>
      </c>
      <c r="L100" s="291">
        <f t="shared" si="19"/>
        <v>0</v>
      </c>
      <c r="M100" s="33"/>
      <c r="N100" s="33"/>
      <c r="O100" s="348"/>
      <c r="P100" s="57">
        <f>G39+H39+I39+J39+K39+L39-F39</f>
        <v>0</v>
      </c>
      <c r="Q100" s="49">
        <f>F39-G39-H39-I39-J39-K39-L39</f>
        <v>0</v>
      </c>
    </row>
    <row r="101" spans="1:17" s="238" customFormat="1" ht="90" customHeight="1">
      <c r="A101" s="232" t="e">
        <f t="shared" si="15"/>
        <v>#REF!</v>
      </c>
      <c r="B101" s="233" t="s">
        <v>141</v>
      </c>
      <c r="C101" s="234">
        <v>2019</v>
      </c>
      <c r="D101" s="349" t="s">
        <v>42</v>
      </c>
      <c r="E101" s="235">
        <v>75000</v>
      </c>
      <c r="F101" s="235">
        <f>G101+H101+I101+J101+K101+L101</f>
        <v>25000</v>
      </c>
      <c r="G101" s="235"/>
      <c r="H101" s="235"/>
      <c r="I101" s="235"/>
      <c r="J101" s="235">
        <v>25000</v>
      </c>
      <c r="K101" s="235"/>
      <c r="L101" s="235"/>
      <c r="M101" s="235"/>
      <c r="N101" s="350" t="s">
        <v>144</v>
      </c>
      <c r="O101" s="351" t="s">
        <v>151</v>
      </c>
      <c r="P101" s="236">
        <f t="shared" si="3"/>
        <v>0</v>
      </c>
      <c r="Q101" s="237">
        <f t="shared" si="2"/>
        <v>0</v>
      </c>
    </row>
    <row r="102" spans="1:17" s="238" customFormat="1" ht="63">
      <c r="A102" s="232" t="e">
        <f t="shared" si="15"/>
        <v>#REF!</v>
      </c>
      <c r="B102" s="233" t="s">
        <v>142</v>
      </c>
      <c r="C102" s="239">
        <v>2019</v>
      </c>
      <c r="D102" s="349"/>
      <c r="E102" s="240">
        <v>13094.418</v>
      </c>
      <c r="F102" s="241">
        <v>12953.861000000001</v>
      </c>
      <c r="G102" s="235"/>
      <c r="H102" s="235"/>
      <c r="I102" s="235"/>
      <c r="J102" s="235"/>
      <c r="K102" s="242">
        <f>F102</f>
        <v>12953.861000000001</v>
      </c>
      <c r="L102" s="235"/>
      <c r="M102" s="235"/>
      <c r="N102" s="350"/>
      <c r="O102" s="351"/>
      <c r="P102" s="236">
        <f t="shared" si="3"/>
        <v>0</v>
      </c>
      <c r="Q102" s="237">
        <f t="shared" si="2"/>
        <v>0</v>
      </c>
    </row>
    <row r="103" spans="1:17" s="238" customFormat="1" ht="63">
      <c r="A103" s="232" t="e">
        <f t="shared" si="15"/>
        <v>#REF!</v>
      </c>
      <c r="B103" s="233" t="s">
        <v>143</v>
      </c>
      <c r="C103" s="239">
        <v>2019</v>
      </c>
      <c r="D103" s="349"/>
      <c r="E103" s="240">
        <v>4734.0559999999996</v>
      </c>
      <c r="F103" s="240">
        <v>4370.4809999999998</v>
      </c>
      <c r="G103" s="235"/>
      <c r="H103" s="235"/>
      <c r="I103" s="235"/>
      <c r="J103" s="235">
        <f>F103</f>
        <v>4370.4809999999998</v>
      </c>
      <c r="K103" s="235"/>
      <c r="L103" s="235"/>
      <c r="M103" s="235"/>
      <c r="N103" s="350"/>
      <c r="O103" s="351"/>
      <c r="P103" s="236">
        <f t="shared" si="3"/>
        <v>0</v>
      </c>
      <c r="Q103" s="237">
        <f t="shared" si="2"/>
        <v>0</v>
      </c>
    </row>
    <row r="104" spans="1:17" s="238" customFormat="1" ht="148.5">
      <c r="A104" s="232" t="e">
        <f t="shared" si="15"/>
        <v>#REF!</v>
      </c>
      <c r="B104" s="243" t="s">
        <v>163</v>
      </c>
      <c r="C104" s="244">
        <v>2019</v>
      </c>
      <c r="D104" s="244" t="s">
        <v>164</v>
      </c>
      <c r="E104" s="245"/>
      <c r="F104" s="245">
        <v>243.4</v>
      </c>
      <c r="G104" s="240"/>
      <c r="H104" s="240"/>
      <c r="I104" s="240"/>
      <c r="J104" s="240"/>
      <c r="K104" s="240">
        <v>243.4</v>
      </c>
      <c r="L104" s="240"/>
      <c r="M104" s="246" t="s">
        <v>224</v>
      </c>
      <c r="N104" s="346" t="s">
        <v>165</v>
      </c>
      <c r="O104" s="239"/>
      <c r="P104" s="236">
        <f t="shared" si="3"/>
        <v>0</v>
      </c>
      <c r="Q104" s="237">
        <f t="shared" si="2"/>
        <v>0</v>
      </c>
    </row>
    <row r="105" spans="1:17" s="238" customFormat="1" ht="158.25" customHeight="1">
      <c r="A105" s="232" t="e">
        <f t="shared" si="15"/>
        <v>#REF!</v>
      </c>
      <c r="B105" s="243" t="s">
        <v>166</v>
      </c>
      <c r="C105" s="244">
        <v>2019</v>
      </c>
      <c r="D105" s="244" t="s">
        <v>167</v>
      </c>
      <c r="E105" s="245"/>
      <c r="F105" s="245">
        <v>756.6</v>
      </c>
      <c r="G105" s="240"/>
      <c r="H105" s="240"/>
      <c r="I105" s="240"/>
      <c r="J105" s="240"/>
      <c r="K105" s="240">
        <f>68.2+688.4</f>
        <v>756.6</v>
      </c>
      <c r="L105" s="235"/>
      <c r="M105" s="247" t="s">
        <v>168</v>
      </c>
      <c r="N105" s="346"/>
      <c r="O105" s="248" t="s">
        <v>169</v>
      </c>
      <c r="P105" s="236">
        <f t="shared" si="3"/>
        <v>0</v>
      </c>
      <c r="Q105" s="237">
        <f t="shared" si="2"/>
        <v>0</v>
      </c>
    </row>
    <row r="106" spans="1:17" s="41" customFormat="1" ht="196.5" customHeight="1">
      <c r="A106" s="58" t="e">
        <f t="shared" si="15"/>
        <v>#REF!</v>
      </c>
      <c r="O106" s="56" t="s">
        <v>147</v>
      </c>
      <c r="P106" s="57">
        <f>G66+H66+I66+J66+K66+L66-F66</f>
        <v>0</v>
      </c>
      <c r="Q106" s="49">
        <f>F66-G66-H66-I66-J66-K66-L66</f>
        <v>0</v>
      </c>
    </row>
    <row r="107" spans="1:17" s="41" customFormat="1" ht="55.5">
      <c r="A107" s="58" t="e">
        <f t="shared" si="15"/>
        <v>#REF!</v>
      </c>
      <c r="O107" s="56" t="s">
        <v>147</v>
      </c>
      <c r="P107" s="57">
        <f>G67+H67+I67+J67+K67+L67-F67</f>
        <v>0</v>
      </c>
      <c r="Q107" s="49">
        <f>F67-G67-H67-I67-J67-K67-L67</f>
        <v>0</v>
      </c>
    </row>
    <row r="108" spans="1:17">
      <c r="A108" s="58" t="e">
        <f t="shared" si="15"/>
        <v>#REF!</v>
      </c>
      <c r="B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83"/>
      <c r="P108" s="57">
        <f>G97+H97+I97+J97+K97+L97-F97</f>
        <v>0</v>
      </c>
      <c r="Q108" s="49">
        <f>F97-G97-H97-I97-J97-K97-L97</f>
        <v>0</v>
      </c>
    </row>
    <row r="109" spans="1:17">
      <c r="A109" s="58" t="e">
        <f t="shared" si="15"/>
        <v>#REF!</v>
      </c>
      <c r="B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83"/>
      <c r="P109" s="57">
        <f>G69+H69+I69+J69+K69+L69-F69</f>
        <v>0</v>
      </c>
      <c r="Q109" s="49">
        <f>F69-G69-H69-I69-J69-K69-L69</f>
        <v>0</v>
      </c>
    </row>
    <row r="110" spans="1:17">
      <c r="A110" s="58" t="e">
        <f t="shared" si="15"/>
        <v>#REF!</v>
      </c>
      <c r="B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83"/>
      <c r="P110" s="57">
        <f>G70+H70+I70+J70+K70+L70-F70</f>
        <v>0</v>
      </c>
      <c r="Q110" s="49">
        <f>F70-G70-H70-I70-J70-K70-L70</f>
        <v>0</v>
      </c>
    </row>
    <row r="111" spans="1:17">
      <c r="A111" s="58" t="e">
        <f t="shared" si="15"/>
        <v>#REF!</v>
      </c>
      <c r="B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83"/>
      <c r="P111" s="57">
        <f>G71+H71+I71+J71+K71+L71-F71</f>
        <v>0</v>
      </c>
      <c r="Q111" s="49">
        <f>F71-G71-H71-I71-J71-K71-L71</f>
        <v>0</v>
      </c>
    </row>
    <row r="112" spans="1:17">
      <c r="A112" s="58" t="e">
        <f t="shared" si="15"/>
        <v>#REF!</v>
      </c>
      <c r="B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83"/>
      <c r="P112" s="57">
        <f>G72+H72+I72+J72+K72+L72-F72</f>
        <v>0</v>
      </c>
      <c r="Q112" s="49">
        <f>F72-G72-H72-I72-J72-K72-L72</f>
        <v>0</v>
      </c>
    </row>
    <row r="113" spans="1:17" ht="225">
      <c r="A113" s="58" t="e">
        <f t="shared" si="15"/>
        <v>#REF!</v>
      </c>
      <c r="B113" s="33"/>
      <c r="E113" s="33"/>
      <c r="F113" s="33"/>
      <c r="G113" s="33"/>
      <c r="H113" s="33"/>
      <c r="I113" s="33"/>
      <c r="J113" s="33"/>
      <c r="K113" s="33"/>
      <c r="L113" s="33"/>
      <c r="M113" s="33"/>
      <c r="N113" s="90" t="s">
        <v>41</v>
      </c>
      <c r="O113" s="83"/>
      <c r="P113" s="57">
        <f>G81+H81+I81+J81+K81+L81-F81</f>
        <v>0</v>
      </c>
      <c r="Q113" s="49">
        <f>F81-G81-H81-I81-J81-K81-L81</f>
        <v>0</v>
      </c>
    </row>
    <row r="114" spans="1:17" ht="225">
      <c r="A114" s="58" t="e">
        <f t="shared" si="15"/>
        <v>#REF!</v>
      </c>
      <c r="B114" s="33"/>
      <c r="E114" s="33"/>
      <c r="F114" s="33"/>
      <c r="G114" s="33"/>
      <c r="H114" s="33"/>
      <c r="I114" s="33"/>
      <c r="J114" s="33"/>
      <c r="K114" s="33"/>
      <c r="L114" s="33"/>
      <c r="M114" s="33"/>
      <c r="N114" s="90" t="s">
        <v>41</v>
      </c>
      <c r="O114" s="83"/>
      <c r="P114" s="57">
        <f>G82+H82+I82+J82+K82+L82-F82</f>
        <v>0</v>
      </c>
      <c r="Q114" s="49">
        <f>F82-G82-H82-I82-J82-K82-L82</f>
        <v>0</v>
      </c>
    </row>
    <row r="115" spans="1:17" ht="187.5">
      <c r="A115" s="58" t="e">
        <f t="shared" si="15"/>
        <v>#REF!</v>
      </c>
      <c r="B115" s="33"/>
      <c r="E115" s="33"/>
      <c r="F115" s="33"/>
      <c r="G115" s="33"/>
      <c r="H115" s="33"/>
      <c r="I115" s="33"/>
      <c r="J115" s="33"/>
      <c r="K115" s="33"/>
      <c r="L115" s="33"/>
      <c r="M115" s="33"/>
      <c r="N115" s="90" t="s">
        <v>36</v>
      </c>
      <c r="O115" s="83"/>
      <c r="P115" s="57">
        <f>G77+H77+I77+J77+K77+L77-F77</f>
        <v>0</v>
      </c>
      <c r="Q115" s="49">
        <f>F77-G77-H77-I77-J77-K77-L77</f>
        <v>0</v>
      </c>
    </row>
    <row r="116" spans="1:17">
      <c r="A116" s="58" t="e">
        <f t="shared" si="15"/>
        <v>#REF!</v>
      </c>
      <c r="B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100"/>
      <c r="P116" s="57">
        <f t="shared" ref="P116:P127" si="20">G40+H40+I40+J40+K40+L40-F40</f>
        <v>0</v>
      </c>
      <c r="Q116" s="49">
        <f t="shared" ref="Q116:Q127" si="21">F40-G40-H40-I40-J40-K40-L40</f>
        <v>0</v>
      </c>
    </row>
    <row r="117" spans="1:17">
      <c r="A117" s="58" t="e">
        <f t="shared" si="15"/>
        <v>#REF!</v>
      </c>
      <c r="B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52"/>
      <c r="P117" s="57">
        <f t="shared" si="20"/>
        <v>0</v>
      </c>
      <c r="Q117" s="49">
        <f t="shared" si="21"/>
        <v>0</v>
      </c>
    </row>
    <row r="118" spans="1:17">
      <c r="A118" s="58" t="e">
        <f t="shared" si="15"/>
        <v>#REF!</v>
      </c>
      <c r="B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52"/>
      <c r="P118" s="57">
        <f t="shared" si="20"/>
        <v>0</v>
      </c>
      <c r="Q118" s="49">
        <f t="shared" si="21"/>
        <v>0</v>
      </c>
    </row>
    <row r="119" spans="1:17">
      <c r="A119" s="58" t="e">
        <f t="shared" si="15"/>
        <v>#REF!</v>
      </c>
      <c r="B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52"/>
      <c r="P119" s="57">
        <f t="shared" si="20"/>
        <v>0</v>
      </c>
      <c r="Q119" s="49">
        <f t="shared" si="21"/>
        <v>0</v>
      </c>
    </row>
    <row r="120" spans="1:17">
      <c r="A120" s="58" t="e">
        <f t="shared" si="15"/>
        <v>#REF!</v>
      </c>
      <c r="B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52"/>
      <c r="P120" s="57">
        <f t="shared" si="20"/>
        <v>0</v>
      </c>
      <c r="Q120" s="49">
        <f t="shared" si="21"/>
        <v>0</v>
      </c>
    </row>
    <row r="121" spans="1:17">
      <c r="A121" s="58" t="e">
        <f t="shared" si="15"/>
        <v>#REF!</v>
      </c>
      <c r="B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100"/>
      <c r="P121" s="57">
        <f t="shared" si="20"/>
        <v>0</v>
      </c>
      <c r="Q121" s="49">
        <f t="shared" si="21"/>
        <v>0</v>
      </c>
    </row>
    <row r="122" spans="1:17">
      <c r="A122" s="58" t="e">
        <f t="shared" si="15"/>
        <v>#REF!</v>
      </c>
      <c r="B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100"/>
      <c r="P122" s="57">
        <f t="shared" si="20"/>
        <v>0</v>
      </c>
      <c r="Q122" s="49">
        <f t="shared" si="21"/>
        <v>0</v>
      </c>
    </row>
    <row r="123" spans="1:17">
      <c r="A123" s="58" t="e">
        <f t="shared" si="15"/>
        <v>#REF!</v>
      </c>
      <c r="B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52"/>
      <c r="P123" s="57">
        <f t="shared" si="20"/>
        <v>0</v>
      </c>
      <c r="Q123" s="49">
        <f t="shared" si="21"/>
        <v>0</v>
      </c>
    </row>
    <row r="124" spans="1:17">
      <c r="A124" s="58" t="e">
        <f t="shared" si="15"/>
        <v>#REF!</v>
      </c>
      <c r="B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52"/>
      <c r="P124" s="57">
        <f t="shared" si="20"/>
        <v>0</v>
      </c>
      <c r="Q124" s="49">
        <f t="shared" si="21"/>
        <v>0</v>
      </c>
    </row>
    <row r="125" spans="1:17">
      <c r="A125" s="58" t="e">
        <f t="shared" si="15"/>
        <v>#REF!</v>
      </c>
      <c r="B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52"/>
      <c r="P125" s="57">
        <f t="shared" si="20"/>
        <v>0</v>
      </c>
      <c r="Q125" s="49">
        <f t="shared" si="21"/>
        <v>0</v>
      </c>
    </row>
    <row r="126" spans="1:17">
      <c r="A126" s="58" t="e">
        <f t="shared" si="15"/>
        <v>#REF!</v>
      </c>
      <c r="B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52"/>
      <c r="P126" s="57">
        <f t="shared" si="20"/>
        <v>0</v>
      </c>
      <c r="Q126" s="49">
        <f t="shared" si="21"/>
        <v>0</v>
      </c>
    </row>
    <row r="127" spans="1:17">
      <c r="A127" s="58" t="e">
        <f t="shared" si="15"/>
        <v>#REF!</v>
      </c>
      <c r="B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52"/>
      <c r="P127" s="57">
        <f t="shared" si="20"/>
        <v>0</v>
      </c>
      <c r="Q127" s="49">
        <f t="shared" si="21"/>
        <v>0</v>
      </c>
    </row>
    <row r="129" spans="17:17">
      <c r="Q129" s="49">
        <f>SUM(Q12:Q127)</f>
        <v>-2.0676793610618915E-12</v>
      </c>
    </row>
  </sheetData>
  <mergeCells count="36">
    <mergeCell ref="N104:N105"/>
    <mergeCell ref="N70:N72"/>
    <mergeCell ref="O96:O100"/>
    <mergeCell ref="D38:D39"/>
    <mergeCell ref="N38:N39"/>
    <mergeCell ref="D101:D103"/>
    <mergeCell ref="N101:N103"/>
    <mergeCell ref="O101:O103"/>
    <mergeCell ref="D60:D63"/>
    <mergeCell ref="D58:D59"/>
    <mergeCell ref="D12:D14"/>
    <mergeCell ref="N12:N14"/>
    <mergeCell ref="C53:C55"/>
    <mergeCell ref="D53:D55"/>
    <mergeCell ref="N53:N55"/>
    <mergeCell ref="D16:D21"/>
    <mergeCell ref="N16:N21"/>
    <mergeCell ref="D29:D32"/>
    <mergeCell ref="N29:N32"/>
    <mergeCell ref="D33:D37"/>
    <mergeCell ref="N33:N37"/>
    <mergeCell ref="N5:N8"/>
    <mergeCell ref="O5:O8"/>
    <mergeCell ref="F6:F8"/>
    <mergeCell ref="G6:L6"/>
    <mergeCell ref="G7:I7"/>
    <mergeCell ref="J7:K7"/>
    <mergeCell ref="L7:L8"/>
    <mergeCell ref="A3:M3"/>
    <mergeCell ref="A5:A8"/>
    <mergeCell ref="B5:B8"/>
    <mergeCell ref="C5:C8"/>
    <mergeCell ref="D5:D8"/>
    <mergeCell ref="E5:E8"/>
    <mergeCell ref="F5:L5"/>
    <mergeCell ref="M5:M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2018-12-04T08:25:26Z</dcterms:modified>
</cp:coreProperties>
</file>